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24226"/>
  <mc:AlternateContent xmlns:mc="http://schemas.openxmlformats.org/markup-compatibility/2006">
    <mc:Choice Requires="x15">
      <x15ac:absPath xmlns:x15ac="http://schemas.microsoft.com/office/spreadsheetml/2010/11/ac" url="d:\Users\Paco\Downloads\"/>
    </mc:Choice>
  </mc:AlternateContent>
  <xr:revisionPtr revIDLastSave="0" documentId="13_ncr:1_{9B431D75-03D3-4AFF-94F2-1AA22C83C633}" xr6:coauthVersionLast="46" xr6:coauthVersionMax="46" xr10:uidLastSave="{00000000-0000-0000-0000-000000000000}"/>
  <bookViews>
    <workbookView xWindow="-120" yWindow="-120" windowWidth="25440" windowHeight="15390" tabRatio="765" xr2:uid="{00000000-000D-0000-FFFF-FFFF00000000}"/>
  </bookViews>
  <sheets>
    <sheet name="Baremo" sheetId="1" r:id="rId1"/>
    <sheet name="Servicios" sheetId="13" r:id="rId2"/>
    <sheet name="Innovacion" sheetId="12" r:id="rId3"/>
    <sheet name="Necesidades" sheetId="11" r:id="rId4"/>
    <sheet name="Balances" sheetId="5" r:id="rId5"/>
    <sheet name="Presupuesto" sheetId="9" r:id="rId6"/>
    <sheet name="Inversion" sheetId="6" r:id="rId7"/>
    <sheet name="Viabilidad" sheetId="7" r:id="rId8"/>
    <sheet name="Empleo" sheetId="8" r:id="rId9"/>
    <sheet name="Listas" sheetId="10" state="hidden" r:id="rId10"/>
  </sheets>
  <definedNames>
    <definedName name="_xlnm._FilterDatabase" localSheetId="4" hidden="1">Balances!$A$7:$C$7</definedName>
    <definedName name="_xlnm._FilterDatabase" localSheetId="0" hidden="1">Baremo!$A$12:$L$133</definedName>
    <definedName name="_xlnm._FilterDatabase" localSheetId="8" hidden="1">Empleo!$A$6:$C$6</definedName>
    <definedName name="_xlnm._FilterDatabase" localSheetId="2" hidden="1">Innovacion!$A$7:$I$85</definedName>
    <definedName name="_xlnm._FilterDatabase" localSheetId="6" hidden="1">Inversion!$A$6:$C$6</definedName>
    <definedName name="_xlnm._FilterDatabase" localSheetId="3" hidden="1">Necesidades!$A$7:$G$90</definedName>
    <definedName name="_xlnm._FilterDatabase" localSheetId="5" hidden="1">Presupuesto!$A$7:$C$7</definedName>
    <definedName name="_xlnm._FilterDatabase" localSheetId="1" hidden="1">Servicios!$A$7:$I$69</definedName>
    <definedName name="_xlnm._FilterDatabase" localSheetId="7" hidden="1">Viabilidad!$A$6:$H$6</definedName>
    <definedName name="_xlnm.Print_Area" localSheetId="4">Balances!$B$1:$Q$93</definedName>
    <definedName name="_xlnm.Print_Area" localSheetId="0">Baremo!$B$1:$J$133</definedName>
    <definedName name="_xlnm.Print_Area" localSheetId="8">Empleo!$B$1:$L$32</definedName>
    <definedName name="_xlnm.Print_Area" localSheetId="2">Innovacion!$B$1:$I$85</definedName>
    <definedName name="_xlnm.Print_Area" localSheetId="6">Inversion!$B$1:$K$30</definedName>
    <definedName name="_xlnm.Print_Area" localSheetId="3">Necesidades!$B$1:$G$90</definedName>
    <definedName name="_xlnm.Print_Area" localSheetId="5">Presupuesto!$B$1:$L$54</definedName>
    <definedName name="_xlnm.Print_Area" localSheetId="1">Servicios!$B$1:$I$70</definedName>
    <definedName name="_xlnm.Print_Area" localSheetId="7">Viabilidad!$B$1:$H$59</definedName>
    <definedName name="_xlnm.Print_Titles" localSheetId="4">Balances!$1:$8</definedName>
    <definedName name="_xlnm.Print_Titles" localSheetId="0">Baremo!$1:$3</definedName>
    <definedName name="_xlnm.Print_Titles" localSheetId="8">Empleo!$1:$5</definedName>
    <definedName name="_xlnm.Print_Titles" localSheetId="2">Innovacion!$1:$2</definedName>
    <definedName name="_xlnm.Print_Titles" localSheetId="6">Inversion!$1:$5</definedName>
    <definedName name="_xlnm.Print_Titles" localSheetId="3">Necesidades!$1:$2</definedName>
    <definedName name="_xlnm.Print_Titles" localSheetId="5">Presupuesto!$1:$6</definedName>
    <definedName name="_xlnm.Print_Titles" localSheetId="1">Servicios!$1:$2</definedName>
    <definedName name="_xlnm.Print_Titles" localSheetId="7">Viabilidad!$1:$5</definedName>
  </definedNames>
  <calcPr calcId="191029"/>
</workbook>
</file>

<file path=xl/calcChain.xml><?xml version="1.0" encoding="utf-8"?>
<calcChain xmlns="http://schemas.openxmlformats.org/spreadsheetml/2006/main">
  <c r="H26" i="1" l="1"/>
  <c r="H25" i="1"/>
  <c r="H24" i="1"/>
  <c r="H23" i="1"/>
  <c r="H22" i="1"/>
  <c r="B1" i="8" l="1"/>
  <c r="B1" i="7"/>
  <c r="B1" i="6"/>
  <c r="B1" i="9"/>
  <c r="B1" i="5"/>
  <c r="B1" i="11"/>
  <c r="B1" i="12"/>
  <c r="B1" i="13"/>
  <c r="B1" i="1"/>
  <c r="C55" i="10"/>
  <c r="A55" i="10"/>
  <c r="C54" i="10"/>
  <c r="A54" i="10"/>
  <c r="C53" i="10"/>
  <c r="A53" i="10"/>
  <c r="C52" i="10"/>
  <c r="A52" i="10"/>
  <c r="F13" i="12"/>
  <c r="F14" i="12"/>
  <c r="F15" i="12"/>
  <c r="F16" i="12"/>
  <c r="F17" i="12"/>
  <c r="F18" i="12"/>
  <c r="F19" i="12"/>
  <c r="F20" i="12"/>
  <c r="F21" i="12"/>
  <c r="F22" i="12"/>
  <c r="F23" i="12"/>
  <c r="F24" i="12"/>
  <c r="F25" i="12"/>
  <c r="F26" i="12"/>
  <c r="F27" i="12"/>
  <c r="F28" i="12"/>
  <c r="F29" i="12"/>
  <c r="F30" i="12"/>
  <c r="F31" i="12"/>
  <c r="F32" i="12"/>
  <c r="F33" i="12"/>
  <c r="F34" i="12"/>
  <c r="F36" i="12"/>
  <c r="I1" i="8" l="1"/>
  <c r="G1" i="7"/>
  <c r="I1" i="6"/>
  <c r="J1" i="9"/>
  <c r="M1" i="5"/>
  <c r="G1" i="11"/>
  <c r="I1" i="12"/>
  <c r="I1" i="13"/>
  <c r="G70" i="13"/>
  <c r="F70" i="13" s="1"/>
  <c r="H70" i="13" l="1"/>
  <c r="I105" i="1" l="1"/>
  <c r="I106" i="1" s="1"/>
  <c r="I117" i="1"/>
  <c r="I118" i="1" s="1"/>
  <c r="I113" i="1"/>
  <c r="I109" i="1"/>
  <c r="I97" i="1"/>
  <c r="I98" i="1" s="1"/>
  <c r="I99" i="1" s="1"/>
  <c r="I88" i="1"/>
  <c r="I114" i="1" l="1"/>
  <c r="I115" i="1" s="1"/>
  <c r="I110" i="1"/>
  <c r="I111" i="1" s="1"/>
  <c r="G84" i="1" l="1"/>
  <c r="G83" i="1"/>
  <c r="G82" i="1"/>
  <c r="G63" i="1"/>
  <c r="G64" i="1"/>
  <c r="G65" i="1"/>
  <c r="G66" i="1"/>
  <c r="G67" i="1"/>
  <c r="H67" i="1"/>
  <c r="I67" i="1" s="1"/>
  <c r="G61" i="1"/>
  <c r="G60" i="1"/>
  <c r="G59" i="1"/>
  <c r="G58" i="1"/>
  <c r="G57" i="1"/>
  <c r="G56" i="1"/>
  <c r="G55" i="1"/>
  <c r="G71" i="1"/>
  <c r="G70" i="1"/>
  <c r="G69" i="1"/>
  <c r="G53" i="1"/>
  <c r="G52" i="1"/>
  <c r="G51" i="1"/>
  <c r="G50" i="1"/>
  <c r="G49" i="1"/>
  <c r="G48" i="1"/>
  <c r="G47" i="1"/>
  <c r="H66" i="1" l="1"/>
  <c r="I66" i="1" s="1"/>
  <c r="G69" i="13" l="1"/>
  <c r="H69" i="13" s="1"/>
  <c r="G68" i="13"/>
  <c r="H68" i="13" s="1"/>
  <c r="G67" i="13"/>
  <c r="F67" i="13" s="1"/>
  <c r="G66" i="13"/>
  <c r="H66" i="13" s="1"/>
  <c r="G65" i="13"/>
  <c r="H65" i="13" s="1"/>
  <c r="G64" i="13"/>
  <c r="H64" i="13" s="1"/>
  <c r="G63" i="13"/>
  <c r="F63" i="13" s="1"/>
  <c r="G62" i="13"/>
  <c r="H62" i="13" s="1"/>
  <c r="G61" i="13"/>
  <c r="H61" i="13" s="1"/>
  <c r="G60" i="13"/>
  <c r="H60" i="13" s="1"/>
  <c r="G59" i="13"/>
  <c r="F59" i="13" s="1"/>
  <c r="G58" i="13"/>
  <c r="H58" i="13" s="1"/>
  <c r="G57" i="13"/>
  <c r="H57" i="13" s="1"/>
  <c r="G56" i="13"/>
  <c r="H56" i="13" s="1"/>
  <c r="G55" i="13"/>
  <c r="F55" i="13" s="1"/>
  <c r="G54" i="13"/>
  <c r="H54" i="13" s="1"/>
  <c r="G53" i="13"/>
  <c r="H53" i="13" s="1"/>
  <c r="G52" i="13"/>
  <c r="H52" i="13" s="1"/>
  <c r="G51" i="13"/>
  <c r="F51" i="13" s="1"/>
  <c r="G50" i="13"/>
  <c r="H50" i="13" s="1"/>
  <c r="G49" i="13"/>
  <c r="H49" i="13" s="1"/>
  <c r="G48" i="13"/>
  <c r="H48" i="13" s="1"/>
  <c r="G47" i="13"/>
  <c r="F47" i="13" s="1"/>
  <c r="G46" i="13"/>
  <c r="H46" i="13" s="1"/>
  <c r="G45" i="13"/>
  <c r="H45" i="13" s="1"/>
  <c r="G44" i="13"/>
  <c r="H44" i="13" s="1"/>
  <c r="G43" i="13"/>
  <c r="F43" i="13" s="1"/>
  <c r="G42" i="13"/>
  <c r="H42" i="13" s="1"/>
  <c r="G41" i="13"/>
  <c r="H41" i="13" s="1"/>
  <c r="G40" i="13"/>
  <c r="H40" i="13" s="1"/>
  <c r="G39" i="13"/>
  <c r="F39" i="13" s="1"/>
  <c r="G38" i="13"/>
  <c r="H38" i="13" s="1"/>
  <c r="G37" i="13"/>
  <c r="H37" i="13" s="1"/>
  <c r="G36" i="13"/>
  <c r="H36" i="13" s="1"/>
  <c r="G35" i="13"/>
  <c r="F35" i="13" s="1"/>
  <c r="G34" i="13"/>
  <c r="H34" i="13" s="1"/>
  <c r="G33" i="13"/>
  <c r="H33" i="13" s="1"/>
  <c r="G32" i="13"/>
  <c r="H32" i="13" s="1"/>
  <c r="G31" i="13"/>
  <c r="F31" i="13" s="1"/>
  <c r="G30" i="13"/>
  <c r="H30" i="13" s="1"/>
  <c r="G29" i="13"/>
  <c r="H29" i="13" s="1"/>
  <c r="G28" i="13"/>
  <c r="H28" i="13" s="1"/>
  <c r="G27" i="13"/>
  <c r="F27" i="13" s="1"/>
  <c r="G26" i="13"/>
  <c r="H26" i="13" s="1"/>
  <c r="G25" i="13"/>
  <c r="H25" i="13" s="1"/>
  <c r="G24" i="13"/>
  <c r="H24" i="13" s="1"/>
  <c r="G23" i="13"/>
  <c r="F23" i="13" s="1"/>
  <c r="G22" i="13"/>
  <c r="H22" i="13" s="1"/>
  <c r="G21" i="13"/>
  <c r="H21" i="13" s="1"/>
  <c r="G20" i="13"/>
  <c r="H20" i="13" s="1"/>
  <c r="G19" i="13"/>
  <c r="F19" i="13" s="1"/>
  <c r="G18" i="13"/>
  <c r="H18" i="13" s="1"/>
  <c r="G17" i="13"/>
  <c r="H17" i="13" s="1"/>
  <c r="G16" i="13"/>
  <c r="H16" i="13" s="1"/>
  <c r="G15" i="13"/>
  <c r="F15" i="13" s="1"/>
  <c r="G14" i="13"/>
  <c r="H14" i="13" s="1"/>
  <c r="G13" i="13"/>
  <c r="H13" i="13" s="1"/>
  <c r="G12" i="13"/>
  <c r="H12" i="13" s="1"/>
  <c r="C5" i="13"/>
  <c r="B5" i="13"/>
  <c r="C4" i="13"/>
  <c r="B4" i="13"/>
  <c r="C3" i="13"/>
  <c r="B3" i="13"/>
  <c r="C2" i="13"/>
  <c r="B2" i="13"/>
  <c r="G85" i="12"/>
  <c r="G84" i="12"/>
  <c r="F84" i="12" s="1"/>
  <c r="G83" i="12"/>
  <c r="H83" i="12" s="1"/>
  <c r="G82" i="12"/>
  <c r="F82" i="12" s="1"/>
  <c r="G81" i="12"/>
  <c r="G80" i="12"/>
  <c r="F80" i="12" s="1"/>
  <c r="G79" i="12"/>
  <c r="G77" i="12"/>
  <c r="G76" i="12"/>
  <c r="H76" i="12" s="1"/>
  <c r="F76" i="12"/>
  <c r="G74" i="12"/>
  <c r="F74" i="12" s="1"/>
  <c r="G73" i="12"/>
  <c r="G72" i="12"/>
  <c r="F72" i="12" s="1"/>
  <c r="H70" i="12"/>
  <c r="G70" i="12"/>
  <c r="F70" i="12" s="1"/>
  <c r="G69" i="12"/>
  <c r="H68" i="12"/>
  <c r="G68" i="12"/>
  <c r="F68" i="12" s="1"/>
  <c r="G66" i="12"/>
  <c r="H66" i="12" s="1"/>
  <c r="G65" i="12"/>
  <c r="G64" i="12"/>
  <c r="H64" i="12" s="1"/>
  <c r="G63" i="12"/>
  <c r="G61" i="12"/>
  <c r="H60" i="12"/>
  <c r="G60" i="12"/>
  <c r="F60" i="12" s="1"/>
  <c r="G58" i="12"/>
  <c r="H58" i="12" s="1"/>
  <c r="G57" i="12"/>
  <c r="G55" i="12"/>
  <c r="G54" i="12"/>
  <c r="H54" i="12" s="1"/>
  <c r="F54" i="12"/>
  <c r="G53" i="12"/>
  <c r="G51" i="12"/>
  <c r="G50" i="12"/>
  <c r="F50" i="12" s="1"/>
  <c r="G49" i="12"/>
  <c r="G47" i="12"/>
  <c r="G46" i="12"/>
  <c r="H46" i="12" s="1"/>
  <c r="F46" i="12"/>
  <c r="G45" i="12"/>
  <c r="G43" i="12"/>
  <c r="G42" i="12"/>
  <c r="H42" i="12" s="1"/>
  <c r="G41" i="12"/>
  <c r="G40" i="12"/>
  <c r="H40" i="12" s="1"/>
  <c r="G36" i="12"/>
  <c r="G35" i="12"/>
  <c r="G34" i="12"/>
  <c r="G33" i="12"/>
  <c r="H33" i="12" s="1"/>
  <c r="G32" i="12"/>
  <c r="G31" i="12"/>
  <c r="H31" i="12" s="1"/>
  <c r="G30" i="12"/>
  <c r="G29" i="12"/>
  <c r="H29" i="12" s="1"/>
  <c r="G28" i="12"/>
  <c r="G27" i="12"/>
  <c r="H27" i="12" s="1"/>
  <c r="G26" i="12"/>
  <c r="G25" i="12"/>
  <c r="H25" i="12" s="1"/>
  <c r="G24" i="12"/>
  <c r="G23" i="12"/>
  <c r="H23" i="12" s="1"/>
  <c r="G22" i="12"/>
  <c r="G21" i="12"/>
  <c r="H21" i="12" s="1"/>
  <c r="G20" i="12"/>
  <c r="G19" i="12"/>
  <c r="H19" i="12" s="1"/>
  <c r="G18" i="12"/>
  <c r="G17" i="12"/>
  <c r="H17" i="12" s="1"/>
  <c r="G16" i="12"/>
  <c r="G15" i="12"/>
  <c r="H15" i="12" s="1"/>
  <c r="G14" i="12"/>
  <c r="G13" i="12"/>
  <c r="H13" i="12" s="1"/>
  <c r="G12" i="12"/>
  <c r="F12" i="12" s="1"/>
  <c r="C5" i="12"/>
  <c r="B5" i="12"/>
  <c r="C4" i="12"/>
  <c r="B4" i="12"/>
  <c r="C3" i="12"/>
  <c r="B3" i="12"/>
  <c r="C2" i="12"/>
  <c r="B2" i="12"/>
  <c r="G5" i="11"/>
  <c r="C5" i="11"/>
  <c r="B5" i="11"/>
  <c r="G4" i="11"/>
  <c r="C4" i="11"/>
  <c r="B4" i="11"/>
  <c r="C3" i="11"/>
  <c r="B3" i="11"/>
  <c r="C2" i="11"/>
  <c r="B2" i="11"/>
  <c r="E90" i="11"/>
  <c r="E89" i="11"/>
  <c r="D89" i="11" s="1"/>
  <c r="E88" i="11"/>
  <c r="E87" i="11"/>
  <c r="D87" i="11" s="1"/>
  <c r="E86" i="11"/>
  <c r="E85" i="11"/>
  <c r="D85" i="11" s="1"/>
  <c r="E84" i="11"/>
  <c r="E83" i="11"/>
  <c r="D83" i="11" s="1"/>
  <c r="E82" i="11"/>
  <c r="E81" i="11"/>
  <c r="D81" i="11" s="1"/>
  <c r="E80" i="11"/>
  <c r="E79" i="11"/>
  <c r="D79" i="11" s="1"/>
  <c r="E78" i="11"/>
  <c r="E77" i="11"/>
  <c r="D77" i="11" s="1"/>
  <c r="E76" i="11"/>
  <c r="E75" i="11"/>
  <c r="D75" i="11" s="1"/>
  <c r="E74" i="11"/>
  <c r="E73" i="11"/>
  <c r="D73" i="11" s="1"/>
  <c r="E72" i="11"/>
  <c r="E71" i="11"/>
  <c r="D71" i="11" s="1"/>
  <c r="E70" i="11"/>
  <c r="E69" i="11"/>
  <c r="D69" i="11" s="1"/>
  <c r="E68" i="11"/>
  <c r="E67" i="11"/>
  <c r="D67" i="11" s="1"/>
  <c r="E66" i="11"/>
  <c r="E65" i="11"/>
  <c r="D65" i="11" s="1"/>
  <c r="E64" i="11"/>
  <c r="E63" i="11"/>
  <c r="D63" i="11" s="1"/>
  <c r="E62" i="11"/>
  <c r="E61" i="11"/>
  <c r="D61" i="11" s="1"/>
  <c r="E60" i="11"/>
  <c r="E59" i="11"/>
  <c r="D59" i="11" s="1"/>
  <c r="E58" i="11"/>
  <c r="E57" i="11"/>
  <c r="D57" i="11" s="1"/>
  <c r="E56" i="11"/>
  <c r="E55" i="11"/>
  <c r="D55" i="11" s="1"/>
  <c r="E54" i="11"/>
  <c r="E53" i="11"/>
  <c r="D53" i="11" s="1"/>
  <c r="E52" i="11"/>
  <c r="E51" i="11"/>
  <c r="D51" i="11" s="1"/>
  <c r="E50" i="11"/>
  <c r="E49" i="11"/>
  <c r="D49" i="11" s="1"/>
  <c r="E48" i="11"/>
  <c r="D48" i="11" s="1"/>
  <c r="E47" i="11"/>
  <c r="D47" i="11" s="1"/>
  <c r="E46" i="11"/>
  <c r="F46" i="11" s="1"/>
  <c r="D46" i="11"/>
  <c r="E45" i="11"/>
  <c r="D45" i="11" s="1"/>
  <c r="E44" i="11"/>
  <c r="D44" i="11" s="1"/>
  <c r="E43" i="11"/>
  <c r="D43" i="11" s="1"/>
  <c r="E42" i="11"/>
  <c r="F42" i="11" s="1"/>
  <c r="E41" i="11"/>
  <c r="D41" i="11" s="1"/>
  <c r="E40" i="11"/>
  <c r="D40" i="11" s="1"/>
  <c r="E39" i="11"/>
  <c r="D39" i="11" s="1"/>
  <c r="E38" i="11"/>
  <c r="F38" i="11" s="1"/>
  <c r="E37" i="11"/>
  <c r="D37" i="11" s="1"/>
  <c r="E36" i="11"/>
  <c r="D36" i="11" s="1"/>
  <c r="E35" i="11"/>
  <c r="D35" i="11" s="1"/>
  <c r="E34" i="11"/>
  <c r="F34" i="11" s="1"/>
  <c r="E33" i="11"/>
  <c r="D33" i="11" s="1"/>
  <c r="E32" i="11"/>
  <c r="D32" i="11" s="1"/>
  <c r="E31" i="11"/>
  <c r="D31" i="11" s="1"/>
  <c r="E30" i="11"/>
  <c r="F30" i="11" s="1"/>
  <c r="E29" i="11"/>
  <c r="D29" i="11" s="1"/>
  <c r="E28" i="11"/>
  <c r="D28" i="11" s="1"/>
  <c r="E27" i="11"/>
  <c r="D27" i="11" s="1"/>
  <c r="E26" i="11"/>
  <c r="F26" i="11" s="1"/>
  <c r="E25" i="11"/>
  <c r="D25" i="11" s="1"/>
  <c r="F24" i="11"/>
  <c r="E24" i="11"/>
  <c r="D24" i="11" s="1"/>
  <c r="E23" i="11"/>
  <c r="D23" i="11" s="1"/>
  <c r="E22" i="11"/>
  <c r="F22" i="11" s="1"/>
  <c r="E21" i="11"/>
  <c r="D21" i="11" s="1"/>
  <c r="E20" i="11"/>
  <c r="D20" i="11" s="1"/>
  <c r="E19" i="11"/>
  <c r="D19" i="11" s="1"/>
  <c r="E18" i="11"/>
  <c r="F18" i="11" s="1"/>
  <c r="E17" i="11"/>
  <c r="D17" i="11" s="1"/>
  <c r="E16" i="11"/>
  <c r="D16" i="11" s="1"/>
  <c r="E15" i="11"/>
  <c r="D15" i="11" s="1"/>
  <c r="E14" i="11"/>
  <c r="F14" i="11" s="1"/>
  <c r="E13" i="11"/>
  <c r="D13" i="11" s="1"/>
  <c r="E12" i="11"/>
  <c r="D12" i="11" s="1"/>
  <c r="E11" i="11"/>
  <c r="D11" i="11" s="1"/>
  <c r="H35" i="12" l="1"/>
  <c r="F35" i="12"/>
  <c r="F12" i="13"/>
  <c r="F62" i="13"/>
  <c r="F32" i="13"/>
  <c r="D22" i="11"/>
  <c r="F56" i="13"/>
  <c r="F28" i="13"/>
  <c r="F16" i="13"/>
  <c r="F40" i="13"/>
  <c r="F46" i="13"/>
  <c r="F24" i="13"/>
  <c r="F44" i="13"/>
  <c r="F54" i="13"/>
  <c r="F20" i="13"/>
  <c r="F36" i="13"/>
  <c r="F48" i="13"/>
  <c r="F64" i="13"/>
  <c r="F14" i="13"/>
  <c r="F22" i="13"/>
  <c r="F30" i="13"/>
  <c r="F38" i="13"/>
  <c r="F52" i="13"/>
  <c r="F60" i="13"/>
  <c r="F68" i="13"/>
  <c r="F18" i="13"/>
  <c r="F26" i="13"/>
  <c r="F34" i="13"/>
  <c r="F42" i="13"/>
  <c r="F50" i="13"/>
  <c r="F58" i="13"/>
  <c r="F66" i="13"/>
  <c r="F13" i="13"/>
  <c r="H15" i="13"/>
  <c r="F17" i="13"/>
  <c r="H19" i="13"/>
  <c r="F21" i="13"/>
  <c r="H23" i="13"/>
  <c r="F25" i="13"/>
  <c r="H27" i="13"/>
  <c r="F29" i="13"/>
  <c r="H31" i="13"/>
  <c r="F33" i="13"/>
  <c r="H35" i="13"/>
  <c r="F37" i="13"/>
  <c r="H39" i="13"/>
  <c r="F41" i="13"/>
  <c r="H43" i="13"/>
  <c r="F45" i="13"/>
  <c r="H47" i="13"/>
  <c r="F49" i="13"/>
  <c r="H51" i="13"/>
  <c r="F53" i="13"/>
  <c r="H55" i="13"/>
  <c r="F57" i="13"/>
  <c r="H59" i="13"/>
  <c r="F61" i="13"/>
  <c r="H63" i="13"/>
  <c r="F65" i="13"/>
  <c r="H67" i="13"/>
  <c r="F69" i="13"/>
  <c r="F40" i="12"/>
  <c r="F42" i="12"/>
  <c r="H50" i="12"/>
  <c r="F58" i="12"/>
  <c r="F64" i="12"/>
  <c r="F66" i="12"/>
  <c r="H72" i="12"/>
  <c r="H74" i="12"/>
  <c r="H80" i="12"/>
  <c r="H82" i="12"/>
  <c r="H84" i="12"/>
  <c r="H63" i="12"/>
  <c r="F63" i="12"/>
  <c r="F65" i="12"/>
  <c r="H65" i="12"/>
  <c r="H45" i="12"/>
  <c r="F45" i="12"/>
  <c r="F44" i="12" s="1"/>
  <c r="F47" i="12"/>
  <c r="H47" i="12"/>
  <c r="H53" i="12"/>
  <c r="F53" i="12"/>
  <c r="F52" i="12" s="1"/>
  <c r="F55" i="12"/>
  <c r="H55" i="12"/>
  <c r="H77" i="12"/>
  <c r="F77" i="12"/>
  <c r="F75" i="12" s="1"/>
  <c r="H12" i="12"/>
  <c r="H14" i="12"/>
  <c r="H16" i="12"/>
  <c r="H18" i="12"/>
  <c r="H20" i="12"/>
  <c r="H22" i="12"/>
  <c r="H24" i="12"/>
  <c r="H26" i="12"/>
  <c r="H28" i="12"/>
  <c r="H30" i="12"/>
  <c r="H32" i="12"/>
  <c r="H34" i="12"/>
  <c r="H36" i="12"/>
  <c r="H61" i="12"/>
  <c r="F61" i="12"/>
  <c r="F59" i="12" s="1"/>
  <c r="F73" i="12"/>
  <c r="H73" i="12"/>
  <c r="F41" i="12"/>
  <c r="H41" i="12"/>
  <c r="H43" i="12"/>
  <c r="F43" i="12"/>
  <c r="F49" i="12"/>
  <c r="H49" i="12"/>
  <c r="H51" i="12"/>
  <c r="F51" i="12"/>
  <c r="F57" i="12"/>
  <c r="H57" i="12"/>
  <c r="H69" i="12"/>
  <c r="F69" i="12"/>
  <c r="F67" i="12" s="1"/>
  <c r="F71" i="12"/>
  <c r="H79" i="12"/>
  <c r="F79" i="12"/>
  <c r="F81" i="12"/>
  <c r="H81" i="12"/>
  <c r="F85" i="12"/>
  <c r="H85" i="12"/>
  <c r="F83" i="12"/>
  <c r="D18" i="11"/>
  <c r="F17" i="11"/>
  <c r="F28" i="11"/>
  <c r="F12" i="11"/>
  <c r="F21" i="11"/>
  <c r="D42" i="11"/>
  <c r="F13" i="11"/>
  <c r="F29" i="11"/>
  <c r="F33" i="11"/>
  <c r="F37" i="11"/>
  <c r="F49" i="11"/>
  <c r="F51" i="11"/>
  <c r="F53" i="11"/>
  <c r="F55" i="11"/>
  <c r="F57" i="11"/>
  <c r="F59" i="11"/>
  <c r="F61" i="11"/>
  <c r="F63" i="11"/>
  <c r="F65" i="11"/>
  <c r="F67" i="11"/>
  <c r="F69" i="11"/>
  <c r="F71" i="11"/>
  <c r="F73" i="11"/>
  <c r="F77" i="11"/>
  <c r="F79" i="11"/>
  <c r="F81" i="11"/>
  <c r="F83" i="11"/>
  <c r="F85" i="11"/>
  <c r="F87" i="11"/>
  <c r="F89" i="11"/>
  <c r="D14" i="11"/>
  <c r="F16" i="11"/>
  <c r="F25" i="11"/>
  <c r="D30" i="11"/>
  <c r="F32" i="11"/>
  <c r="D34" i="11"/>
  <c r="F36" i="11"/>
  <c r="D38" i="11"/>
  <c r="F40" i="11"/>
  <c r="F44" i="11"/>
  <c r="F48" i="11"/>
  <c r="F20" i="11"/>
  <c r="F41" i="11"/>
  <c r="F45" i="11"/>
  <c r="F75" i="11"/>
  <c r="D26" i="11"/>
  <c r="D50" i="11"/>
  <c r="F50" i="11"/>
  <c r="F52" i="11"/>
  <c r="D52" i="11"/>
  <c r="D54" i="11"/>
  <c r="F54" i="11"/>
  <c r="F56" i="11"/>
  <c r="D56" i="11"/>
  <c r="D58" i="11"/>
  <c r="F58" i="11"/>
  <c r="F60" i="11"/>
  <c r="D60" i="11"/>
  <c r="D62" i="11"/>
  <c r="F62" i="11"/>
  <c r="F64" i="11"/>
  <c r="D64" i="11"/>
  <c r="D66" i="11"/>
  <c r="F66" i="11"/>
  <c r="F68" i="11"/>
  <c r="D68" i="11"/>
  <c r="D70" i="11"/>
  <c r="F70" i="11"/>
  <c r="F72" i="11"/>
  <c r="D72" i="11"/>
  <c r="D74" i="11"/>
  <c r="F74" i="11"/>
  <c r="F76" i="11"/>
  <c r="D76" i="11"/>
  <c r="D78" i="11"/>
  <c r="F78" i="11"/>
  <c r="F80" i="11"/>
  <c r="D80" i="11"/>
  <c r="D82" i="11"/>
  <c r="F82" i="11"/>
  <c r="F84" i="11"/>
  <c r="D84" i="11"/>
  <c r="D86" i="11"/>
  <c r="F86" i="11"/>
  <c r="F88" i="11"/>
  <c r="D88" i="11"/>
  <c r="D90" i="11"/>
  <c r="F90" i="11"/>
  <c r="F11" i="11"/>
  <c r="F15" i="11"/>
  <c r="F19" i="11"/>
  <c r="F23" i="11"/>
  <c r="F27" i="11"/>
  <c r="F31" i="11"/>
  <c r="F35" i="11"/>
  <c r="F39" i="11"/>
  <c r="F43" i="11"/>
  <c r="F47" i="11"/>
  <c r="F10" i="13" l="1"/>
  <c r="F48" i="12"/>
  <c r="F39" i="12"/>
  <c r="F62" i="12"/>
  <c r="F56" i="12"/>
  <c r="F10" i="12"/>
  <c r="H119" i="1" s="1"/>
  <c r="F78" i="12"/>
  <c r="D10" i="11"/>
  <c r="H128" i="1" s="1"/>
  <c r="F37" i="12" l="1"/>
  <c r="H127" i="1" s="1"/>
  <c r="F38" i="7"/>
  <c r="G38" i="7"/>
  <c r="F37" i="7"/>
  <c r="G37" i="7" s="1"/>
  <c r="H37" i="7" s="1"/>
  <c r="H38" i="7"/>
  <c r="D6" i="9" l="1"/>
  <c r="E27" i="7" l="1"/>
  <c r="E9" i="7"/>
  <c r="H50" i="7" l="1"/>
  <c r="G50" i="7"/>
  <c r="F50" i="7"/>
  <c r="F49" i="7" l="1"/>
  <c r="G49" i="7" s="1"/>
  <c r="H49" i="7" s="1"/>
  <c r="I26" i="8" l="1"/>
  <c r="I18" i="8"/>
  <c r="H11" i="9"/>
  <c r="H83" i="1"/>
  <c r="I83" i="1" s="1"/>
  <c r="H84" i="1" l="1"/>
  <c r="I84" i="1" s="1"/>
  <c r="H80" i="1"/>
  <c r="I80" i="1" s="1"/>
  <c r="H79" i="1"/>
  <c r="I79" i="1" s="1"/>
  <c r="H78" i="1"/>
  <c r="I78" i="1" s="1"/>
  <c r="H77" i="1"/>
  <c r="I77" i="1" s="1"/>
  <c r="H71" i="1"/>
  <c r="I71" i="1" s="1"/>
  <c r="H61" i="1"/>
  <c r="I61" i="1" s="1"/>
  <c r="H60" i="1"/>
  <c r="I60" i="1" s="1"/>
  <c r="H59" i="1"/>
  <c r="I59" i="1" s="1"/>
  <c r="H58" i="1"/>
  <c r="I58" i="1" s="1"/>
  <c r="H57" i="1"/>
  <c r="I57" i="1" s="1"/>
  <c r="H56" i="1"/>
  <c r="I56" i="1" s="1"/>
  <c r="H55" i="1"/>
  <c r="I55" i="1" s="1"/>
  <c r="H53" i="1"/>
  <c r="I53" i="1" s="1"/>
  <c r="H52" i="1"/>
  <c r="I52" i="1" s="1"/>
  <c r="H51" i="1"/>
  <c r="I51" i="1" s="1"/>
  <c r="H50" i="1"/>
  <c r="I50" i="1" s="1"/>
  <c r="H49" i="1"/>
  <c r="H48" i="1"/>
  <c r="I48" i="1" s="1"/>
  <c r="H47" i="1"/>
  <c r="I47" i="1" s="1"/>
  <c r="H45" i="1"/>
  <c r="I45" i="1" s="1"/>
  <c r="H44" i="1"/>
  <c r="I44" i="1" s="1"/>
  <c r="H43" i="1"/>
  <c r="I43" i="1" s="1"/>
  <c r="H42" i="1"/>
  <c r="I42" i="1" s="1"/>
  <c r="H41" i="1"/>
  <c r="I41" i="1" s="1"/>
  <c r="H40" i="1"/>
  <c r="I40" i="1" s="1"/>
  <c r="H38" i="1"/>
  <c r="I38" i="1" s="1"/>
  <c r="H34" i="1"/>
  <c r="K30" i="6"/>
  <c r="K29" i="6"/>
  <c r="K28" i="6"/>
  <c r="K27" i="6"/>
  <c r="K26" i="6"/>
  <c r="K25" i="6"/>
  <c r="K24" i="6"/>
  <c r="K23" i="6"/>
  <c r="K22" i="6"/>
  <c r="K20" i="6"/>
  <c r="K19" i="6"/>
  <c r="K18" i="6"/>
  <c r="K17" i="6"/>
  <c r="K16" i="6"/>
  <c r="K15" i="6"/>
  <c r="K14" i="6"/>
  <c r="K13" i="6"/>
  <c r="K12" i="6"/>
  <c r="K11" i="6"/>
  <c r="K10" i="6"/>
  <c r="M54" i="9"/>
  <c r="M53" i="9"/>
  <c r="M52" i="9"/>
  <c r="M51" i="9"/>
  <c r="M50" i="9"/>
  <c r="M49" i="9"/>
  <c r="M47" i="9"/>
  <c r="L47" i="9"/>
  <c r="M46" i="9"/>
  <c r="L46" i="9"/>
  <c r="M45" i="9"/>
  <c r="L45" i="9"/>
  <c r="M44" i="9"/>
  <c r="L44" i="9"/>
  <c r="M43" i="9"/>
  <c r="L43" i="9"/>
  <c r="M42" i="9"/>
  <c r="L42" i="9"/>
  <c r="M40" i="9"/>
  <c r="L40" i="9"/>
  <c r="M39" i="9"/>
  <c r="L39" i="9"/>
  <c r="M38" i="9"/>
  <c r="L38" i="9"/>
  <c r="M37" i="9"/>
  <c r="L37" i="9"/>
  <c r="M36" i="9"/>
  <c r="L36" i="9"/>
  <c r="M35" i="9"/>
  <c r="L35" i="9"/>
  <c r="M34" i="9"/>
  <c r="L34" i="9"/>
  <c r="M33" i="9"/>
  <c r="L33" i="9"/>
  <c r="M32" i="9"/>
  <c r="L32" i="9"/>
  <c r="M31" i="9"/>
  <c r="L31" i="9"/>
  <c r="M30" i="9"/>
  <c r="L30" i="9"/>
  <c r="M29" i="9"/>
  <c r="L29" i="9"/>
  <c r="M28" i="9"/>
  <c r="L28" i="9"/>
  <c r="M27" i="9"/>
  <c r="L27" i="9"/>
  <c r="M26" i="9"/>
  <c r="L26" i="9"/>
  <c r="M25" i="9"/>
  <c r="L25" i="9"/>
  <c r="M24" i="9"/>
  <c r="L24" i="9"/>
  <c r="M23" i="9"/>
  <c r="L23" i="9"/>
  <c r="M22" i="9"/>
  <c r="L22" i="9"/>
  <c r="M21" i="9"/>
  <c r="L21" i="9"/>
  <c r="M20" i="9"/>
  <c r="L20" i="9"/>
  <c r="M19" i="9"/>
  <c r="L19" i="9"/>
  <c r="M18" i="9"/>
  <c r="L18" i="9"/>
  <c r="M17" i="9"/>
  <c r="L17" i="9"/>
  <c r="M16" i="9"/>
  <c r="L16" i="9"/>
  <c r="M15" i="9"/>
  <c r="L15" i="9"/>
  <c r="M14" i="9"/>
  <c r="L14" i="9"/>
  <c r="M13" i="9"/>
  <c r="L13" i="9"/>
  <c r="M12" i="9"/>
  <c r="L12" i="9"/>
  <c r="M11" i="9"/>
  <c r="L11" i="9"/>
  <c r="C42" i="5"/>
  <c r="C35" i="5"/>
  <c r="C30" i="5"/>
  <c r="C19" i="5"/>
  <c r="C11" i="5"/>
  <c r="G10" i="1"/>
  <c r="D10" i="1"/>
  <c r="G9" i="1"/>
  <c r="D9" i="1"/>
  <c r="D5" i="1"/>
  <c r="G4" i="1"/>
  <c r="I4" i="1" s="1"/>
  <c r="J3" i="1"/>
  <c r="J2" i="1"/>
  <c r="A56" i="10"/>
  <c r="A47" i="10"/>
  <c r="E6" i="9" s="1"/>
  <c r="H9" i="5" l="1"/>
  <c r="I107" i="1"/>
  <c r="I91" i="1"/>
  <c r="D7" i="1"/>
  <c r="H37" i="1"/>
  <c r="H70" i="1"/>
  <c r="L8" i="5"/>
  <c r="I34" i="1"/>
  <c r="H33" i="1"/>
  <c r="H31" i="1"/>
  <c r="H32" i="1"/>
  <c r="H39" i="1"/>
  <c r="J6" i="1" s="1"/>
  <c r="H54" i="1"/>
  <c r="J8" i="1" s="1"/>
  <c r="M3" i="5"/>
  <c r="H46" i="1"/>
  <c r="J7" i="1" s="1"/>
  <c r="I49" i="1"/>
  <c r="I3" i="5"/>
  <c r="E8" i="5"/>
  <c r="E4" i="1"/>
  <c r="I46" i="1" l="1"/>
  <c r="I33" i="1"/>
  <c r="I127" i="1"/>
  <c r="J10" i="1"/>
  <c r="J9" i="1"/>
  <c r="I32" i="1" l="1"/>
  <c r="I133" i="1"/>
  <c r="I126" i="1"/>
  <c r="I121" i="1"/>
  <c r="I120" i="1"/>
  <c r="B5" i="8"/>
  <c r="B4" i="8"/>
  <c r="B3" i="8"/>
  <c r="B2" i="8"/>
  <c r="B5" i="7"/>
  <c r="B4" i="7"/>
  <c r="B3" i="7"/>
  <c r="B2" i="7"/>
  <c r="B5" i="6"/>
  <c r="B4" i="6"/>
  <c r="B3" i="6"/>
  <c r="B2" i="6"/>
  <c r="B5" i="9"/>
  <c r="B4" i="9"/>
  <c r="B3" i="9"/>
  <c r="B2" i="9"/>
  <c r="B5" i="5"/>
  <c r="B4" i="5"/>
  <c r="B2" i="5"/>
  <c r="B3" i="5"/>
  <c r="F11" i="5"/>
  <c r="H11" i="5" s="1"/>
  <c r="F36" i="5"/>
  <c r="H36" i="5" s="1"/>
  <c r="F32" i="5"/>
  <c r="H32" i="5" s="1"/>
  <c r="F31" i="5"/>
  <c r="H31" i="5" s="1"/>
  <c r="E51" i="5"/>
  <c r="F53" i="5"/>
  <c r="H53" i="5" s="1"/>
  <c r="F52" i="5"/>
  <c r="H52" i="5" s="1"/>
  <c r="J52" i="5" s="1"/>
  <c r="I31" i="1" l="1"/>
  <c r="H133" i="1"/>
  <c r="H126" i="1"/>
  <c r="H120" i="1"/>
  <c r="H121" i="1"/>
  <c r="I132" i="1"/>
  <c r="I125" i="1"/>
  <c r="I131" i="1"/>
  <c r="I129" i="1"/>
  <c r="J11" i="5"/>
  <c r="I32" i="8"/>
  <c r="I27" i="8"/>
  <c r="H129" i="1" l="1"/>
  <c r="I130" i="1"/>
  <c r="H125" i="1"/>
  <c r="I124" i="1"/>
  <c r="H132" i="1"/>
  <c r="I23" i="8"/>
  <c r="H124" i="1" l="1"/>
  <c r="I123" i="1"/>
  <c r="H131" i="1"/>
  <c r="H130" i="1"/>
  <c r="E5" i="6"/>
  <c r="H123" i="1" l="1"/>
  <c r="I122" i="1"/>
  <c r="K54" i="9"/>
  <c r="K53" i="9"/>
  <c r="K52" i="9"/>
  <c r="K51" i="9"/>
  <c r="K50" i="9"/>
  <c r="K49" i="9"/>
  <c r="K47" i="9"/>
  <c r="K46" i="9"/>
  <c r="K45" i="9"/>
  <c r="K44" i="9"/>
  <c r="K43" i="9"/>
  <c r="K42" i="9"/>
  <c r="K40" i="9"/>
  <c r="K39" i="9"/>
  <c r="K38" i="9"/>
  <c r="K37" i="9"/>
  <c r="K36" i="9"/>
  <c r="K35" i="9"/>
  <c r="K34" i="9"/>
  <c r="K33" i="9"/>
  <c r="K32" i="9"/>
  <c r="K31" i="9"/>
  <c r="K30" i="9"/>
  <c r="K29" i="9"/>
  <c r="K28" i="9"/>
  <c r="K27" i="9"/>
  <c r="K26" i="9"/>
  <c r="K25" i="9"/>
  <c r="K24" i="9"/>
  <c r="K23" i="9"/>
  <c r="K22" i="9"/>
  <c r="K21" i="9"/>
  <c r="K20" i="9"/>
  <c r="K19" i="9"/>
  <c r="K18" i="9"/>
  <c r="K17" i="9"/>
  <c r="K16" i="9"/>
  <c r="K15" i="9"/>
  <c r="K13" i="9"/>
  <c r="K12" i="9"/>
  <c r="H122" i="1" l="1"/>
  <c r="K41" i="9"/>
  <c r="K48" i="9"/>
  <c r="F66" i="5"/>
  <c r="F65" i="5"/>
  <c r="C5" i="9"/>
  <c r="H65" i="5" l="1"/>
  <c r="J65" i="5" s="1"/>
  <c r="H66" i="5"/>
  <c r="J66" i="5" s="1"/>
  <c r="H54" i="9"/>
  <c r="J54" i="9" s="1"/>
  <c r="H53" i="9"/>
  <c r="J53" i="9" s="1"/>
  <c r="H52" i="9"/>
  <c r="J52" i="9" s="1"/>
  <c r="H51" i="9"/>
  <c r="J51" i="9" s="1"/>
  <c r="H50" i="9"/>
  <c r="J50" i="9" s="1"/>
  <c r="H49" i="9"/>
  <c r="H47" i="9"/>
  <c r="J47" i="9" s="1"/>
  <c r="H46" i="9"/>
  <c r="J46" i="9" s="1"/>
  <c r="H45" i="9"/>
  <c r="J45" i="9" s="1"/>
  <c r="H44" i="9"/>
  <c r="J44" i="9" s="1"/>
  <c r="H43" i="9"/>
  <c r="J43" i="9" s="1"/>
  <c r="H42" i="9"/>
  <c r="J42" i="9" s="1"/>
  <c r="H40" i="9"/>
  <c r="J40" i="9" s="1"/>
  <c r="H39" i="9"/>
  <c r="J39" i="9" s="1"/>
  <c r="H38" i="9"/>
  <c r="J38" i="9" s="1"/>
  <c r="H37" i="9"/>
  <c r="J37" i="9" s="1"/>
  <c r="H36" i="9"/>
  <c r="J36" i="9" s="1"/>
  <c r="H35" i="9"/>
  <c r="J35" i="9" s="1"/>
  <c r="H34" i="9"/>
  <c r="J34" i="9" s="1"/>
  <c r="H33" i="9"/>
  <c r="J33" i="9" s="1"/>
  <c r="H32" i="9"/>
  <c r="J32" i="9" s="1"/>
  <c r="H31" i="9"/>
  <c r="J31" i="9" s="1"/>
  <c r="H30" i="9"/>
  <c r="J30" i="9" s="1"/>
  <c r="H29" i="9"/>
  <c r="J29" i="9" s="1"/>
  <c r="H28" i="9"/>
  <c r="J28" i="9" s="1"/>
  <c r="H27" i="9"/>
  <c r="J27" i="9" s="1"/>
  <c r="H26" i="9"/>
  <c r="J26" i="9" s="1"/>
  <c r="H25" i="9"/>
  <c r="J25" i="9" s="1"/>
  <c r="H24" i="9"/>
  <c r="J24" i="9" s="1"/>
  <c r="H23" i="9"/>
  <c r="J23" i="9" s="1"/>
  <c r="H22" i="9"/>
  <c r="J22" i="9" s="1"/>
  <c r="H21" i="9"/>
  <c r="J21" i="9" s="1"/>
  <c r="H20" i="9"/>
  <c r="J20" i="9" s="1"/>
  <c r="H19" i="9"/>
  <c r="J19" i="9" s="1"/>
  <c r="H18" i="9"/>
  <c r="J18" i="9" s="1"/>
  <c r="H17" i="9"/>
  <c r="J17" i="9" s="1"/>
  <c r="H16" i="9"/>
  <c r="J16" i="9" s="1"/>
  <c r="H15" i="9"/>
  <c r="J15" i="9" s="1"/>
  <c r="H14" i="9"/>
  <c r="H13" i="9"/>
  <c r="J13" i="9" s="1"/>
  <c r="J49" i="9" l="1"/>
  <c r="H48" i="9"/>
  <c r="J14" i="9"/>
  <c r="K14" i="9" s="1"/>
  <c r="C4" i="9" l="1"/>
  <c r="C3" i="9"/>
  <c r="C2" i="9"/>
  <c r="H12" i="9" l="1"/>
  <c r="J12" i="9" s="1"/>
  <c r="J11" i="9"/>
  <c r="K11" i="9" s="1"/>
  <c r="K10" i="9" s="1"/>
  <c r="L10" i="9" l="1"/>
  <c r="L41" i="9"/>
  <c r="H41" i="9"/>
  <c r="J10" i="9"/>
  <c r="K9" i="9"/>
  <c r="J48" i="9"/>
  <c r="H10" i="9"/>
  <c r="J41" i="9"/>
  <c r="K21" i="6" l="1"/>
  <c r="K9" i="6"/>
  <c r="H9" i="9"/>
  <c r="L9" i="9"/>
  <c r="J9" i="9"/>
  <c r="C11" i="1" l="1"/>
  <c r="D11" i="1" s="1"/>
  <c r="K8" i="6"/>
  <c r="K50" i="5" l="1"/>
  <c r="E7" i="7" l="1"/>
  <c r="E7" i="6"/>
  <c r="E10" i="8"/>
  <c r="I30" i="6"/>
  <c r="I29" i="6"/>
  <c r="I28" i="6"/>
  <c r="I27" i="6"/>
  <c r="I26" i="6"/>
  <c r="I25" i="6"/>
  <c r="I24" i="6"/>
  <c r="I23" i="6"/>
  <c r="I22" i="6"/>
  <c r="I20" i="6"/>
  <c r="I19" i="6"/>
  <c r="I18" i="6"/>
  <c r="I17" i="6"/>
  <c r="I16" i="6"/>
  <c r="I15" i="6"/>
  <c r="I14" i="6"/>
  <c r="I13" i="6"/>
  <c r="I12" i="6"/>
  <c r="I11" i="6"/>
  <c r="I10" i="6"/>
  <c r="I31" i="8" l="1"/>
  <c r="H28" i="1" s="1"/>
  <c r="L31" i="8"/>
  <c r="K31" i="8"/>
  <c r="J31" i="8"/>
  <c r="H31" i="8"/>
  <c r="G31" i="8"/>
  <c r="F31" i="8"/>
  <c r="E31" i="8"/>
  <c r="I30" i="8"/>
  <c r="I29" i="8"/>
  <c r="L28" i="8"/>
  <c r="K28" i="8"/>
  <c r="J28" i="8"/>
  <c r="H28" i="8"/>
  <c r="G28" i="8"/>
  <c r="F28" i="8"/>
  <c r="E28" i="8"/>
  <c r="L25" i="8"/>
  <c r="K25" i="8"/>
  <c r="J25" i="8"/>
  <c r="H25" i="8"/>
  <c r="G25" i="8"/>
  <c r="F25" i="8"/>
  <c r="E25" i="8"/>
  <c r="L16" i="8"/>
  <c r="K16" i="8"/>
  <c r="J16" i="8"/>
  <c r="H16" i="8"/>
  <c r="G16" i="8"/>
  <c r="F16" i="8"/>
  <c r="I14" i="8"/>
  <c r="I21" i="8"/>
  <c r="I20" i="8"/>
  <c r="I17" i="8"/>
  <c r="L19" i="8"/>
  <c r="K19" i="8"/>
  <c r="J19" i="8"/>
  <c r="H19" i="8"/>
  <c r="G19" i="8"/>
  <c r="F19" i="8"/>
  <c r="E19" i="8"/>
  <c r="E16" i="8"/>
  <c r="H12" i="8"/>
  <c r="G12" i="8"/>
  <c r="E24" i="8" l="1"/>
  <c r="E22" i="8" s="1"/>
  <c r="J24" i="8"/>
  <c r="I19" i="8"/>
  <c r="G24" i="8"/>
  <c r="G22" i="8" s="1"/>
  <c r="L24" i="8"/>
  <c r="L22" i="8" s="1"/>
  <c r="H24" i="8"/>
  <c r="F24" i="8"/>
  <c r="F22" i="8" s="1"/>
  <c r="K24" i="8"/>
  <c r="I28" i="8"/>
  <c r="F15" i="8"/>
  <c r="F13" i="8" s="1"/>
  <c r="K15" i="8"/>
  <c r="K13" i="8" s="1"/>
  <c r="H20" i="1" s="1"/>
  <c r="I20" i="1" s="1"/>
  <c r="G15" i="8"/>
  <c r="G13" i="8" s="1"/>
  <c r="L15" i="8"/>
  <c r="L13" i="8" s="1"/>
  <c r="H29" i="1" s="1"/>
  <c r="H15" i="8"/>
  <c r="H13" i="8" s="1"/>
  <c r="J15" i="8"/>
  <c r="J13" i="8" s="1"/>
  <c r="H19" i="1" s="1"/>
  <c r="I19" i="1" s="1"/>
  <c r="E15" i="8"/>
  <c r="E13" i="8" s="1"/>
  <c r="C5" i="8"/>
  <c r="C4" i="8"/>
  <c r="C3" i="8"/>
  <c r="C2" i="8"/>
  <c r="C108" i="7"/>
  <c r="D107" i="7"/>
  <c r="E17" i="7"/>
  <c r="C5" i="7"/>
  <c r="C4" i="7"/>
  <c r="C107" i="7" s="1"/>
  <c r="C3" i="7"/>
  <c r="C2" i="7"/>
  <c r="F20" i="5"/>
  <c r="E41" i="5"/>
  <c r="E84" i="5" s="1"/>
  <c r="F42" i="5"/>
  <c r="E34" i="5"/>
  <c r="E86" i="5" s="1"/>
  <c r="F35" i="5"/>
  <c r="E29" i="5"/>
  <c r="E92" i="5" s="1"/>
  <c r="E18" i="5"/>
  <c r="F30" i="5"/>
  <c r="F19" i="5"/>
  <c r="F13" i="5"/>
  <c r="E21" i="6"/>
  <c r="E9" i="6"/>
  <c r="C5" i="6"/>
  <c r="C4" i="6"/>
  <c r="C3" i="6"/>
  <c r="C2" i="6"/>
  <c r="C5" i="5"/>
  <c r="C4" i="5"/>
  <c r="C3" i="5"/>
  <c r="C2" i="5"/>
  <c r="E87" i="5"/>
  <c r="H42" i="5" l="1"/>
  <c r="J42" i="5" s="1"/>
  <c r="N42" i="5" s="1"/>
  <c r="G19" i="5"/>
  <c r="H35" i="5"/>
  <c r="J35" i="5" s="1"/>
  <c r="N35" i="5" s="1"/>
  <c r="H13" i="5"/>
  <c r="L13" i="5" s="1"/>
  <c r="P13" i="5" s="1"/>
  <c r="Q13" i="5" s="1"/>
  <c r="H30" i="5"/>
  <c r="J30" i="5"/>
  <c r="K22" i="8"/>
  <c r="J22" i="8"/>
  <c r="H22" i="8"/>
  <c r="H17" i="1"/>
  <c r="I17" i="1" s="1"/>
  <c r="H18" i="1"/>
  <c r="I18" i="1" s="1"/>
  <c r="K30" i="5"/>
  <c r="L30" i="5"/>
  <c r="M30" i="5" s="1"/>
  <c r="K35" i="5"/>
  <c r="L35" i="5"/>
  <c r="K42" i="5"/>
  <c r="L42" i="5"/>
  <c r="M42" i="5" s="1"/>
  <c r="E85" i="5"/>
  <c r="E8" i="6"/>
  <c r="E8" i="7"/>
  <c r="G9" i="6"/>
  <c r="G35" i="5"/>
  <c r="H19" i="5"/>
  <c r="J19" i="5" s="1"/>
  <c r="G42" i="5"/>
  <c r="I42" i="5"/>
  <c r="E93" i="5"/>
  <c r="E91" i="5" s="1"/>
  <c r="I35" i="5"/>
  <c r="G30" i="5"/>
  <c r="I30" i="5"/>
  <c r="N30" i="5"/>
  <c r="G21" i="6"/>
  <c r="J13" i="5" l="1"/>
  <c r="M35" i="5"/>
  <c r="O42" i="5"/>
  <c r="O35" i="5"/>
  <c r="O30" i="5"/>
  <c r="P42" i="5"/>
  <c r="Q42" i="5" s="1"/>
  <c r="P35" i="5"/>
  <c r="Q35" i="5" s="1"/>
  <c r="I19" i="5"/>
  <c r="L19" i="5"/>
  <c r="M19" i="5" s="1"/>
  <c r="P30" i="5"/>
  <c r="Q30" i="5" s="1"/>
  <c r="F28" i="6"/>
  <c r="F24" i="6"/>
  <c r="F27" i="6"/>
  <c r="F23" i="6"/>
  <c r="F29" i="6"/>
  <c r="F21" i="6"/>
  <c r="F30" i="6"/>
  <c r="F26" i="6"/>
  <c r="F22" i="6"/>
  <c r="F25" i="6"/>
  <c r="F20" i="6"/>
  <c r="F16" i="6"/>
  <c r="F12" i="6"/>
  <c r="F11" i="6"/>
  <c r="F13" i="6"/>
  <c r="F19" i="6"/>
  <c r="F15" i="6"/>
  <c r="F18" i="6"/>
  <c r="F14" i="6"/>
  <c r="F17" i="6"/>
  <c r="F10" i="6"/>
  <c r="F9" i="6"/>
  <c r="G8" i="6"/>
  <c r="K19" i="5"/>
  <c r="N19" i="5"/>
  <c r="O19" i="5" l="1"/>
  <c r="P19" i="5"/>
  <c r="Q19" i="5" s="1"/>
  <c r="P11" i="5"/>
  <c r="Q11" i="5" s="1"/>
  <c r="H30" i="6"/>
  <c r="H26" i="6"/>
  <c r="H22" i="6"/>
  <c r="H18" i="6"/>
  <c r="H14" i="6"/>
  <c r="H10" i="6"/>
  <c r="H27" i="6"/>
  <c r="H19" i="6"/>
  <c r="H11" i="6"/>
  <c r="H29" i="6"/>
  <c r="H25" i="6"/>
  <c r="H21" i="6"/>
  <c r="H17" i="6"/>
  <c r="H13" i="6"/>
  <c r="H23" i="6"/>
  <c r="H15" i="6"/>
  <c r="H28" i="6"/>
  <c r="H24" i="6"/>
  <c r="H20" i="6"/>
  <c r="H16" i="6"/>
  <c r="H12" i="6"/>
  <c r="H9" i="6"/>
  <c r="I9" i="6"/>
  <c r="I21" i="6"/>
  <c r="J50" i="5"/>
  <c r="J78" i="5" s="1"/>
  <c r="F76" i="5"/>
  <c r="F75" i="5"/>
  <c r="F73" i="5"/>
  <c r="F72" i="5"/>
  <c r="F71" i="5"/>
  <c r="F70" i="5"/>
  <c r="F69" i="5"/>
  <c r="F68" i="5"/>
  <c r="G66" i="5"/>
  <c r="F64" i="5"/>
  <c r="F62" i="5"/>
  <c r="F61" i="5"/>
  <c r="F60" i="5"/>
  <c r="F58" i="5"/>
  <c r="F57" i="5"/>
  <c r="F56" i="5"/>
  <c r="F55" i="5"/>
  <c r="J53" i="5"/>
  <c r="L52" i="5"/>
  <c r="P52" i="5" s="1"/>
  <c r="Q52" i="5" s="1"/>
  <c r="F48" i="5"/>
  <c r="F47" i="5"/>
  <c r="F46" i="5"/>
  <c r="F45" i="5"/>
  <c r="F44" i="5"/>
  <c r="H44" i="5" s="1"/>
  <c r="J44" i="5" s="1"/>
  <c r="F43" i="5"/>
  <c r="F40" i="5"/>
  <c r="F39" i="5"/>
  <c r="F38" i="5"/>
  <c r="F37" i="5"/>
  <c r="F33" i="5"/>
  <c r="F26" i="5"/>
  <c r="F25" i="5"/>
  <c r="F24" i="5"/>
  <c r="F23" i="5"/>
  <c r="F22" i="5"/>
  <c r="F21" i="5"/>
  <c r="F17" i="5"/>
  <c r="F16" i="5"/>
  <c r="F15" i="5"/>
  <c r="F14" i="5"/>
  <c r="F12" i="5"/>
  <c r="E54" i="5"/>
  <c r="H14" i="5" l="1"/>
  <c r="L14" i="5" s="1"/>
  <c r="H38" i="5"/>
  <c r="L38" i="5" s="1"/>
  <c r="H61" i="5"/>
  <c r="J61" i="5"/>
  <c r="L61" i="5" s="1"/>
  <c r="H72" i="5"/>
  <c r="J72" i="5" s="1"/>
  <c r="H39" i="5"/>
  <c r="L39" i="5" s="1"/>
  <c r="H45" i="5"/>
  <c r="J45" i="5" s="1"/>
  <c r="H57" i="5"/>
  <c r="J57" i="5" s="1"/>
  <c r="N57" i="5" s="1"/>
  <c r="H62" i="5"/>
  <c r="J62" i="5" s="1"/>
  <c r="H69" i="5"/>
  <c r="J69" i="5" s="1"/>
  <c r="H73" i="5"/>
  <c r="J73" i="5" s="1"/>
  <c r="H56" i="5"/>
  <c r="J56" i="5"/>
  <c r="N56" i="5" s="1"/>
  <c r="H68" i="5"/>
  <c r="J68" i="5" s="1"/>
  <c r="H33" i="5"/>
  <c r="J33" i="5" s="1"/>
  <c r="N33" i="5" s="1"/>
  <c r="H40" i="5"/>
  <c r="L40" i="5" s="1"/>
  <c r="P40" i="5" s="1"/>
  <c r="Q40" i="5" s="1"/>
  <c r="H46" i="5"/>
  <c r="J46" i="5" s="1"/>
  <c r="H58" i="5"/>
  <c r="I58" i="5" s="1"/>
  <c r="H17" i="5"/>
  <c r="L17" i="5" s="1"/>
  <c r="H37" i="5"/>
  <c r="L37" i="5" s="1"/>
  <c r="P37" i="5" s="1"/>
  <c r="Q37" i="5" s="1"/>
  <c r="H43" i="5"/>
  <c r="J43" i="5" s="1"/>
  <c r="H47" i="5"/>
  <c r="J47" i="5" s="1"/>
  <c r="H55" i="5"/>
  <c r="L55" i="5" s="1"/>
  <c r="H60" i="5"/>
  <c r="J60" i="5" s="1"/>
  <c r="L60" i="5" s="1"/>
  <c r="H76" i="5"/>
  <c r="I76" i="5" s="1"/>
  <c r="J76" i="5"/>
  <c r="F87" i="5"/>
  <c r="K52" i="5"/>
  <c r="P55" i="5"/>
  <c r="Q55" i="5" s="1"/>
  <c r="P17" i="5"/>
  <c r="Q17" i="5" s="1"/>
  <c r="P38" i="5"/>
  <c r="Q38" i="5" s="1"/>
  <c r="I56" i="5"/>
  <c r="L56" i="5"/>
  <c r="I57" i="5"/>
  <c r="P14" i="5"/>
  <c r="Q14" i="5" s="1"/>
  <c r="P39" i="5"/>
  <c r="Q39" i="5" s="1"/>
  <c r="I8" i="6"/>
  <c r="G72" i="5"/>
  <c r="G68" i="5"/>
  <c r="F41" i="5"/>
  <c r="F84" i="5" s="1"/>
  <c r="G84" i="5" s="1"/>
  <c r="F18" i="5"/>
  <c r="F29" i="5"/>
  <c r="F92" i="5" s="1"/>
  <c r="J36" i="5"/>
  <c r="F34" i="5"/>
  <c r="F86" i="5" s="1"/>
  <c r="G58" i="5"/>
  <c r="H15" i="5"/>
  <c r="J15" i="5" s="1"/>
  <c r="H22" i="5"/>
  <c r="J22" i="5" s="1"/>
  <c r="H26" i="5"/>
  <c r="J26" i="5" s="1"/>
  <c r="K65" i="5"/>
  <c r="K62" i="5"/>
  <c r="I72" i="5"/>
  <c r="K72" i="5"/>
  <c r="K13" i="5"/>
  <c r="H71" i="5"/>
  <c r="J71" i="5" s="1"/>
  <c r="K32" i="5"/>
  <c r="H12" i="5"/>
  <c r="L12" i="5" s="1"/>
  <c r="H23" i="5"/>
  <c r="J23" i="5" s="1"/>
  <c r="L31" i="5"/>
  <c r="L43" i="5"/>
  <c r="I66" i="5"/>
  <c r="K14" i="5"/>
  <c r="K33" i="5"/>
  <c r="H20" i="5"/>
  <c r="H24" i="5"/>
  <c r="J24" i="5" s="1"/>
  <c r="H48" i="5"/>
  <c r="J48" i="5" s="1"/>
  <c r="K39" i="5"/>
  <c r="G71" i="5"/>
  <c r="G76" i="5"/>
  <c r="H21" i="5"/>
  <c r="L21" i="5" s="1"/>
  <c r="H25" i="5"/>
  <c r="J25" i="5" s="1"/>
  <c r="H70" i="5"/>
  <c r="J70" i="5" s="1"/>
  <c r="K56" i="5"/>
  <c r="K61" i="5"/>
  <c r="K76" i="5"/>
  <c r="F51" i="5"/>
  <c r="F80" i="5" s="1"/>
  <c r="G53" i="5"/>
  <c r="G87" i="5"/>
  <c r="H16" i="5"/>
  <c r="J16" i="5" s="1"/>
  <c r="H75" i="5"/>
  <c r="J75" i="5" s="1"/>
  <c r="H64" i="5"/>
  <c r="J64" i="5" s="1"/>
  <c r="G64" i="5"/>
  <c r="F54" i="5"/>
  <c r="G54" i="5" s="1"/>
  <c r="G56" i="5"/>
  <c r="G75" i="5"/>
  <c r="G65" i="5"/>
  <c r="G57" i="5"/>
  <c r="G70" i="5"/>
  <c r="G55" i="5"/>
  <c r="G60" i="5"/>
  <c r="I60" i="5"/>
  <c r="G62" i="5"/>
  <c r="I52" i="5"/>
  <c r="I61" i="5"/>
  <c r="I62" i="5"/>
  <c r="G69" i="5"/>
  <c r="G52" i="5"/>
  <c r="K17" i="5" l="1"/>
  <c r="K57" i="5"/>
  <c r="K73" i="5"/>
  <c r="L57" i="5"/>
  <c r="O57" i="5" s="1"/>
  <c r="J17" i="5"/>
  <c r="N17" i="5" s="1"/>
  <c r="O17" i="5" s="1"/>
  <c r="I55" i="5"/>
  <c r="K55" i="5"/>
  <c r="K69" i="5"/>
  <c r="K37" i="5"/>
  <c r="I69" i="5"/>
  <c r="H54" i="5"/>
  <c r="I54" i="5" s="1"/>
  <c r="K58" i="5"/>
  <c r="L33" i="5"/>
  <c r="P33" i="5" s="1"/>
  <c r="Q33" i="5" s="1"/>
  <c r="K40" i="5"/>
  <c r="J55" i="5"/>
  <c r="N55" i="5" s="1"/>
  <c r="O55" i="5" s="1"/>
  <c r="J58" i="5"/>
  <c r="L58" i="5" s="1"/>
  <c r="N58" i="5" s="1"/>
  <c r="J40" i="5"/>
  <c r="N40" i="5" s="1"/>
  <c r="O40" i="5" s="1"/>
  <c r="K60" i="5"/>
  <c r="L20" i="5"/>
  <c r="J20" i="5"/>
  <c r="N20" i="5" s="1"/>
  <c r="K38" i="5"/>
  <c r="K68" i="5"/>
  <c r="J39" i="5"/>
  <c r="N39" i="5" s="1"/>
  <c r="O39" i="5" s="1"/>
  <c r="J14" i="5"/>
  <c r="N14" i="5" s="1"/>
  <c r="O14" i="5" s="1"/>
  <c r="J12" i="5"/>
  <c r="N12" i="5" s="1"/>
  <c r="I68" i="5"/>
  <c r="J37" i="5"/>
  <c r="N37" i="5" s="1"/>
  <c r="O37" i="5" s="1"/>
  <c r="J21" i="5"/>
  <c r="N21" i="5" s="1"/>
  <c r="O21" i="5" s="1"/>
  <c r="J38" i="5"/>
  <c r="N38" i="5" s="1"/>
  <c r="O38" i="5" s="1"/>
  <c r="L32" i="5"/>
  <c r="J32" i="5"/>
  <c r="N32" i="5" s="1"/>
  <c r="O32" i="5" s="1"/>
  <c r="J31" i="5"/>
  <c r="N31" i="5" s="1"/>
  <c r="L76" i="5"/>
  <c r="P76" i="5" s="1"/>
  <c r="Q76" i="5" s="1"/>
  <c r="N76" i="5"/>
  <c r="N73" i="5"/>
  <c r="L73" i="5"/>
  <c r="P73" i="5" s="1"/>
  <c r="Q73" i="5" s="1"/>
  <c r="L72" i="5"/>
  <c r="P72" i="5" s="1"/>
  <c r="Q72" i="5" s="1"/>
  <c r="N72" i="5"/>
  <c r="N69" i="5"/>
  <c r="L69" i="5"/>
  <c r="P69" i="5" s="1"/>
  <c r="Q69" i="5" s="1"/>
  <c r="L68" i="5"/>
  <c r="P68" i="5" s="1"/>
  <c r="Q68" i="5" s="1"/>
  <c r="N68" i="5"/>
  <c r="L62" i="5"/>
  <c r="P62" i="5" s="1"/>
  <c r="Q62" i="5" s="1"/>
  <c r="N62" i="5"/>
  <c r="M52" i="5"/>
  <c r="N52" i="5"/>
  <c r="O52" i="5" s="1"/>
  <c r="M17" i="5"/>
  <c r="M40" i="5"/>
  <c r="M39" i="5"/>
  <c r="M38" i="5"/>
  <c r="I75" i="5"/>
  <c r="I71" i="5"/>
  <c r="K70" i="5"/>
  <c r="I64" i="5"/>
  <c r="M55" i="5"/>
  <c r="M37" i="5"/>
  <c r="M14" i="5"/>
  <c r="N13" i="5"/>
  <c r="O13" i="5" s="1"/>
  <c r="M13" i="5"/>
  <c r="M60" i="5"/>
  <c r="N60" i="5"/>
  <c r="O60" i="5" s="1"/>
  <c r="M56" i="5"/>
  <c r="O56" i="5"/>
  <c r="M61" i="5"/>
  <c r="N61" i="5"/>
  <c r="O61" i="5" s="1"/>
  <c r="M57" i="5"/>
  <c r="P61" i="5"/>
  <c r="Q61" i="5" s="1"/>
  <c r="P60" i="5"/>
  <c r="Q60" i="5" s="1"/>
  <c r="K48" i="5"/>
  <c r="L48" i="5"/>
  <c r="I53" i="5"/>
  <c r="L53" i="5"/>
  <c r="P21" i="5"/>
  <c r="Q21" i="5" s="1"/>
  <c r="P56" i="5"/>
  <c r="Q56" i="5" s="1"/>
  <c r="L54" i="5"/>
  <c r="N47" i="5"/>
  <c r="L47" i="5"/>
  <c r="K46" i="5"/>
  <c r="L46" i="5"/>
  <c r="N45" i="5"/>
  <c r="L45" i="5"/>
  <c r="N44" i="5"/>
  <c r="L44" i="5"/>
  <c r="M44" i="5" s="1"/>
  <c r="P43" i="5"/>
  <c r="Q43" i="5" s="1"/>
  <c r="H34" i="5"/>
  <c r="H86" i="5" s="1"/>
  <c r="K86" i="5" s="1"/>
  <c r="L36" i="5"/>
  <c r="P31" i="5"/>
  <c r="Q31" i="5" s="1"/>
  <c r="L87" i="5"/>
  <c r="K26" i="5"/>
  <c r="L26" i="5"/>
  <c r="M26" i="5" s="1"/>
  <c r="K25" i="5"/>
  <c r="L25" i="5"/>
  <c r="K24" i="5"/>
  <c r="L24" i="5"/>
  <c r="N23" i="5"/>
  <c r="L23" i="5"/>
  <c r="K22" i="5"/>
  <c r="L22" i="5"/>
  <c r="P20" i="5"/>
  <c r="Q20" i="5" s="1"/>
  <c r="K16" i="5"/>
  <c r="L16" i="5"/>
  <c r="K15" i="5"/>
  <c r="L15" i="5"/>
  <c r="P12" i="5"/>
  <c r="Q12" i="5" s="1"/>
  <c r="F85" i="5"/>
  <c r="G85" i="5" s="1"/>
  <c r="G5" i="7"/>
  <c r="H8" i="6"/>
  <c r="J8" i="6"/>
  <c r="F8" i="6"/>
  <c r="J30" i="6"/>
  <c r="J26" i="6"/>
  <c r="J22" i="6"/>
  <c r="J18" i="6"/>
  <c r="J14" i="6"/>
  <c r="J23" i="6"/>
  <c r="J11" i="6"/>
  <c r="J29" i="6"/>
  <c r="J25" i="6"/>
  <c r="J21" i="6"/>
  <c r="J17" i="6"/>
  <c r="J13" i="6"/>
  <c r="J28" i="6"/>
  <c r="J24" i="6"/>
  <c r="J20" i="6"/>
  <c r="J16" i="6"/>
  <c r="J12" i="6"/>
  <c r="J27" i="6"/>
  <c r="J19" i="6"/>
  <c r="J15" i="6"/>
  <c r="J10" i="6"/>
  <c r="J9" i="6"/>
  <c r="G86" i="5"/>
  <c r="E59" i="5"/>
  <c r="E63" i="5" s="1"/>
  <c r="E80" i="5"/>
  <c r="K36" i="5"/>
  <c r="G92" i="5"/>
  <c r="H29" i="5"/>
  <c r="H92" i="5" s="1"/>
  <c r="J92" i="5" s="1"/>
  <c r="H87" i="5"/>
  <c r="J87" i="5" s="1"/>
  <c r="F93" i="5"/>
  <c r="K20" i="5"/>
  <c r="H18" i="5"/>
  <c r="N43" i="5"/>
  <c r="H41" i="5"/>
  <c r="K12" i="5"/>
  <c r="N15" i="5"/>
  <c r="O15" i="5" s="1"/>
  <c r="I65" i="5"/>
  <c r="N46" i="5"/>
  <c r="K54" i="5"/>
  <c r="N22" i="5"/>
  <c r="N24" i="5"/>
  <c r="K47" i="5"/>
  <c r="K44" i="5"/>
  <c r="N48" i="5"/>
  <c r="O48" i="5" s="1"/>
  <c r="K64" i="5"/>
  <c r="N26" i="5"/>
  <c r="K21" i="5"/>
  <c r="N16" i="5"/>
  <c r="O16" i="5" s="1"/>
  <c r="I70" i="5"/>
  <c r="K43" i="5"/>
  <c r="K23" i="5"/>
  <c r="K71" i="5"/>
  <c r="N25" i="5"/>
  <c r="K75" i="5"/>
  <c r="K45" i="5"/>
  <c r="K66" i="5"/>
  <c r="K31" i="5"/>
  <c r="F59" i="5"/>
  <c r="K53" i="5"/>
  <c r="H51" i="5"/>
  <c r="N53" i="5"/>
  <c r="G51" i="5"/>
  <c r="G61" i="5"/>
  <c r="I48" i="5"/>
  <c r="G48" i="5"/>
  <c r="I46" i="5"/>
  <c r="G46" i="5"/>
  <c r="I44" i="5"/>
  <c r="G44" i="5"/>
  <c r="I43" i="5"/>
  <c r="G43" i="5"/>
  <c r="I40" i="5"/>
  <c r="G40" i="5"/>
  <c r="I39" i="5"/>
  <c r="G39" i="5"/>
  <c r="I38" i="5"/>
  <c r="G38" i="5"/>
  <c r="I36" i="5"/>
  <c r="G36" i="5"/>
  <c r="I33" i="5"/>
  <c r="G33" i="5"/>
  <c r="I32" i="5"/>
  <c r="G32" i="5"/>
  <c r="I25" i="5"/>
  <c r="G25" i="5"/>
  <c r="I24" i="5"/>
  <c r="G24" i="5"/>
  <c r="I23" i="5"/>
  <c r="G23" i="5"/>
  <c r="I21" i="5"/>
  <c r="G21" i="5"/>
  <c r="I20" i="5"/>
  <c r="G20" i="5"/>
  <c r="I17" i="5"/>
  <c r="G17" i="5"/>
  <c r="I16" i="5"/>
  <c r="G16" i="5"/>
  <c r="I15" i="5"/>
  <c r="G15" i="5"/>
  <c r="I14" i="5"/>
  <c r="G14" i="5"/>
  <c r="I13" i="5"/>
  <c r="G13" i="5"/>
  <c r="M58" i="5" l="1"/>
  <c r="J54" i="5"/>
  <c r="P57" i="5"/>
  <c r="Q57" i="5" s="1"/>
  <c r="P58" i="5"/>
  <c r="Q58" i="5" s="1"/>
  <c r="M33" i="5"/>
  <c r="O24" i="5"/>
  <c r="O33" i="5"/>
  <c r="O22" i="5"/>
  <c r="O68" i="5"/>
  <c r="O72" i="5"/>
  <c r="M32" i="5"/>
  <c r="O46" i="5"/>
  <c r="O76" i="5"/>
  <c r="F91" i="5"/>
  <c r="G91" i="5" s="1"/>
  <c r="J86" i="5"/>
  <c r="L29" i="5"/>
  <c r="L92" i="5" s="1"/>
  <c r="P32" i="5"/>
  <c r="Q32" i="5" s="1"/>
  <c r="M62" i="5"/>
  <c r="O62" i="5"/>
  <c r="N51" i="5"/>
  <c r="N80" i="5" s="1"/>
  <c r="M72" i="5"/>
  <c r="M76" i="5"/>
  <c r="N75" i="5"/>
  <c r="L75" i="5"/>
  <c r="P75" i="5" s="1"/>
  <c r="Q75" i="5" s="1"/>
  <c r="O73" i="5"/>
  <c r="M73" i="5"/>
  <c r="N71" i="5"/>
  <c r="L71" i="5"/>
  <c r="P71" i="5" s="1"/>
  <c r="Q71" i="5" s="1"/>
  <c r="N70" i="5"/>
  <c r="L70" i="5"/>
  <c r="P70" i="5" s="1"/>
  <c r="Q70" i="5" s="1"/>
  <c r="O69" i="5"/>
  <c r="M69" i="5"/>
  <c r="M68" i="5"/>
  <c r="L66" i="5"/>
  <c r="P66" i="5" s="1"/>
  <c r="Q66" i="5" s="1"/>
  <c r="N66" i="5"/>
  <c r="L65" i="5"/>
  <c r="M65" i="5" s="1"/>
  <c r="N65" i="5"/>
  <c r="N64" i="5"/>
  <c r="L64" i="5"/>
  <c r="P64" i="5" s="1"/>
  <c r="Q64" i="5" s="1"/>
  <c r="O26" i="5"/>
  <c r="M48" i="5"/>
  <c r="M47" i="5"/>
  <c r="M46" i="5"/>
  <c r="O44" i="5"/>
  <c r="M43" i="5"/>
  <c r="M36" i="5"/>
  <c r="M25" i="5"/>
  <c r="M24" i="5"/>
  <c r="M23" i="5"/>
  <c r="M20" i="5"/>
  <c r="M15" i="5"/>
  <c r="M12" i="5"/>
  <c r="G59" i="5"/>
  <c r="M54" i="5"/>
  <c r="M31" i="5"/>
  <c r="M21" i="5"/>
  <c r="M16" i="5"/>
  <c r="O47" i="5"/>
  <c r="O45" i="5"/>
  <c r="L41" i="5"/>
  <c r="L84" i="5" s="1"/>
  <c r="M45" i="5"/>
  <c r="O43" i="5"/>
  <c r="N41" i="5"/>
  <c r="N84" i="5" s="1"/>
  <c r="I86" i="5"/>
  <c r="H85" i="5"/>
  <c r="J34" i="5"/>
  <c r="N36" i="5"/>
  <c r="N87" i="5"/>
  <c r="O87" i="5" s="1"/>
  <c r="O31" i="5"/>
  <c r="N29" i="5"/>
  <c r="O25" i="5"/>
  <c r="O23" i="5"/>
  <c r="L18" i="5"/>
  <c r="L83" i="5" s="1"/>
  <c r="M22" i="5"/>
  <c r="O20" i="5"/>
  <c r="N18" i="5"/>
  <c r="N83" i="5" s="1"/>
  <c r="O12" i="5"/>
  <c r="M53" i="5"/>
  <c r="O53" i="5"/>
  <c r="O58" i="5"/>
  <c r="N54" i="5"/>
  <c r="L10" i="5"/>
  <c r="J29" i="5"/>
  <c r="P45" i="5"/>
  <c r="Q45" i="5" s="1"/>
  <c r="P47" i="5"/>
  <c r="Q47" i="5" s="1"/>
  <c r="P16" i="5"/>
  <c r="Q16" i="5" s="1"/>
  <c r="P23" i="5"/>
  <c r="Q23" i="5" s="1"/>
  <c r="P25" i="5"/>
  <c r="Q25" i="5" s="1"/>
  <c r="P44" i="5"/>
  <c r="Q44" i="5" s="1"/>
  <c r="P46" i="5"/>
  <c r="Q46" i="5" s="1"/>
  <c r="P53" i="5"/>
  <c r="Q53" i="5" s="1"/>
  <c r="L51" i="5"/>
  <c r="P48" i="5"/>
  <c r="Q48" i="5" s="1"/>
  <c r="P15" i="5"/>
  <c r="Q15" i="5" s="1"/>
  <c r="P22" i="5"/>
  <c r="Q22" i="5" s="1"/>
  <c r="P24" i="5"/>
  <c r="Q24" i="5" s="1"/>
  <c r="P26" i="5"/>
  <c r="Q26" i="5" s="1"/>
  <c r="J51" i="5"/>
  <c r="J59" i="5" s="1"/>
  <c r="L34" i="5"/>
  <c r="P36" i="5"/>
  <c r="Q36" i="5" s="1"/>
  <c r="P87" i="5"/>
  <c r="Q87" i="5" s="1"/>
  <c r="I51" i="5"/>
  <c r="H80" i="5"/>
  <c r="J80" i="5" s="1"/>
  <c r="K92" i="5"/>
  <c r="I92" i="5"/>
  <c r="I87" i="5"/>
  <c r="M87" i="5"/>
  <c r="K87" i="5"/>
  <c r="J41" i="5"/>
  <c r="G93" i="5"/>
  <c r="J18" i="5"/>
  <c r="H93" i="5"/>
  <c r="H91" i="5" s="1"/>
  <c r="H84" i="5"/>
  <c r="J84" i="5" s="1"/>
  <c r="F63" i="5"/>
  <c r="G63" i="5" s="1"/>
  <c r="H59" i="5"/>
  <c r="I59" i="5" s="1"/>
  <c r="K51" i="5"/>
  <c r="G73" i="5"/>
  <c r="I73" i="5"/>
  <c r="E67" i="5"/>
  <c r="E83" i="5"/>
  <c r="I12" i="5"/>
  <c r="G22" i="5"/>
  <c r="G47" i="5"/>
  <c r="G26" i="5"/>
  <c r="I47" i="5"/>
  <c r="H83" i="5"/>
  <c r="I26" i="5"/>
  <c r="G12" i="5"/>
  <c r="I22" i="5"/>
  <c r="P54" i="5" l="1"/>
  <c r="Q54" i="5" s="1"/>
  <c r="M29" i="5"/>
  <c r="O66" i="5"/>
  <c r="O65" i="5"/>
  <c r="E82" i="5"/>
  <c r="P29" i="5"/>
  <c r="Q29" i="5" s="1"/>
  <c r="J93" i="5"/>
  <c r="O29" i="5"/>
  <c r="O75" i="5"/>
  <c r="M71" i="5"/>
  <c r="M70" i="5"/>
  <c r="M66" i="5"/>
  <c r="M75" i="5"/>
  <c r="O71" i="5"/>
  <c r="O70" i="5"/>
  <c r="P65" i="5"/>
  <c r="Q65" i="5" s="1"/>
  <c r="O64" i="5"/>
  <c r="M64" i="5"/>
  <c r="N82" i="5"/>
  <c r="M41" i="5"/>
  <c r="F67" i="5"/>
  <c r="F74" i="5" s="1"/>
  <c r="F89" i="5" s="1"/>
  <c r="O41" i="5"/>
  <c r="M18" i="5"/>
  <c r="L27" i="5"/>
  <c r="H82" i="5"/>
  <c r="P41" i="5"/>
  <c r="Q41" i="5" s="1"/>
  <c r="J49" i="5"/>
  <c r="J85" i="5"/>
  <c r="H112" i="1" s="1"/>
  <c r="O36" i="5"/>
  <c r="N34" i="5"/>
  <c r="N49" i="5" s="1"/>
  <c r="N92" i="5"/>
  <c r="O92" i="5" s="1"/>
  <c r="O18" i="5"/>
  <c r="P10" i="5"/>
  <c r="Q10" i="5" s="1"/>
  <c r="O83" i="5"/>
  <c r="O84" i="5"/>
  <c r="M34" i="5"/>
  <c r="O54" i="5"/>
  <c r="N59" i="5"/>
  <c r="M92" i="5"/>
  <c r="L82" i="5"/>
  <c r="M51" i="5"/>
  <c r="O51" i="5"/>
  <c r="P18" i="5"/>
  <c r="Q18" i="5" s="1"/>
  <c r="P51" i="5"/>
  <c r="Q51" i="5" s="1"/>
  <c r="L80" i="5"/>
  <c r="L59" i="5"/>
  <c r="M59" i="5" s="1"/>
  <c r="L49" i="5"/>
  <c r="P34" i="5"/>
  <c r="Q34" i="5" s="1"/>
  <c r="L86" i="5"/>
  <c r="L93" i="5"/>
  <c r="I85" i="5"/>
  <c r="K85" i="5"/>
  <c r="I84" i="5"/>
  <c r="M84" i="5"/>
  <c r="K84" i="5"/>
  <c r="I93" i="5"/>
  <c r="K93" i="5"/>
  <c r="J91" i="5"/>
  <c r="H116" i="1" s="1"/>
  <c r="F83" i="5"/>
  <c r="J83" i="5" s="1"/>
  <c r="K18" i="5"/>
  <c r="K59" i="5"/>
  <c r="H63" i="5"/>
  <c r="J63" i="5"/>
  <c r="E74" i="5"/>
  <c r="I31" i="5"/>
  <c r="G18" i="5"/>
  <c r="I37" i="5"/>
  <c r="I45" i="5"/>
  <c r="H49" i="5"/>
  <c r="G45" i="5"/>
  <c r="K34" i="5"/>
  <c r="G37" i="5"/>
  <c r="I34" i="5"/>
  <c r="I18" i="5"/>
  <c r="G31" i="5"/>
  <c r="L90" i="5" l="1"/>
  <c r="L5" i="5"/>
  <c r="P92" i="5"/>
  <c r="Q92" i="5" s="1"/>
  <c r="H96" i="1"/>
  <c r="F77" i="5"/>
  <c r="F81" i="5" s="1"/>
  <c r="G67" i="5"/>
  <c r="P84" i="5"/>
  <c r="Q84" i="5" s="1"/>
  <c r="O34" i="5"/>
  <c r="N93" i="5"/>
  <c r="N91" i="5" s="1"/>
  <c r="N86" i="5"/>
  <c r="N85" i="5" s="1"/>
  <c r="P83" i="5"/>
  <c r="Q83" i="5" s="1"/>
  <c r="P27" i="5"/>
  <c r="M49" i="5"/>
  <c r="O49" i="5"/>
  <c r="M86" i="5"/>
  <c r="M93" i="5"/>
  <c r="O93" i="5"/>
  <c r="O80" i="5"/>
  <c r="O59" i="5"/>
  <c r="N63" i="5"/>
  <c r="O82" i="5"/>
  <c r="P49" i="5"/>
  <c r="Q49" i="5" s="1"/>
  <c r="L85" i="5"/>
  <c r="P59" i="5"/>
  <c r="Q59" i="5" s="1"/>
  <c r="P80" i="5"/>
  <c r="Q80" i="5" s="1"/>
  <c r="L4" i="5"/>
  <c r="L91" i="5"/>
  <c r="L63" i="5"/>
  <c r="M63" i="5" s="1"/>
  <c r="P93" i="5"/>
  <c r="Q93" i="5" s="1"/>
  <c r="P86" i="5"/>
  <c r="Q86" i="5" s="1"/>
  <c r="I83" i="5"/>
  <c r="F82" i="5"/>
  <c r="I82" i="5" s="1"/>
  <c r="H104" i="1"/>
  <c r="G74" i="5"/>
  <c r="E89" i="5"/>
  <c r="K91" i="5"/>
  <c r="I91" i="5"/>
  <c r="K83" i="5"/>
  <c r="G83" i="5"/>
  <c r="M83" i="5"/>
  <c r="K41" i="5"/>
  <c r="K29" i="5"/>
  <c r="K63" i="5"/>
  <c r="I63" i="5"/>
  <c r="H67" i="5"/>
  <c r="J67" i="5"/>
  <c r="E77" i="5"/>
  <c r="E81" i="5" s="1"/>
  <c r="E79" i="5" s="1"/>
  <c r="F49" i="5"/>
  <c r="I29" i="5"/>
  <c r="E49" i="5"/>
  <c r="G41" i="5"/>
  <c r="G29" i="5"/>
  <c r="I41" i="5"/>
  <c r="G34" i="5"/>
  <c r="Q27" i="5" l="1"/>
  <c r="P5" i="5"/>
  <c r="P82" i="5"/>
  <c r="Q82" i="5" s="1"/>
  <c r="F79" i="5"/>
  <c r="O86" i="5"/>
  <c r="P90" i="5"/>
  <c r="Q90" i="5" s="1"/>
  <c r="P4" i="5"/>
  <c r="O63" i="5"/>
  <c r="N67" i="5"/>
  <c r="M91" i="5"/>
  <c r="O91" i="5"/>
  <c r="M85" i="5"/>
  <c r="O85" i="5"/>
  <c r="P63" i="5"/>
  <c r="Q63" i="5" s="1"/>
  <c r="J82" i="5"/>
  <c r="L67" i="5"/>
  <c r="M67" i="5" s="1"/>
  <c r="P91" i="5"/>
  <c r="Q91" i="5" s="1"/>
  <c r="P85" i="5"/>
  <c r="Q85" i="5" s="1"/>
  <c r="G81" i="5"/>
  <c r="G89" i="5"/>
  <c r="G82" i="5"/>
  <c r="K82" i="5"/>
  <c r="K49" i="5"/>
  <c r="H74" i="5"/>
  <c r="H89" i="5" s="1"/>
  <c r="J89" i="5" s="1"/>
  <c r="K67" i="5"/>
  <c r="I67" i="5"/>
  <c r="J74" i="5"/>
  <c r="I49" i="5"/>
  <c r="G77" i="5"/>
  <c r="G49" i="5"/>
  <c r="M82" i="5" l="1"/>
  <c r="H108" i="1"/>
  <c r="H92" i="1"/>
  <c r="I93" i="1" s="1"/>
  <c r="O67" i="5"/>
  <c r="N74" i="5"/>
  <c r="P67" i="5"/>
  <c r="Q67" i="5" s="1"/>
  <c r="L74" i="5"/>
  <c r="M74" i="5" s="1"/>
  <c r="I89" i="5"/>
  <c r="K89" i="5"/>
  <c r="K74" i="5"/>
  <c r="I74" i="5"/>
  <c r="H77" i="5"/>
  <c r="H81" i="5" s="1"/>
  <c r="J77" i="5"/>
  <c r="I94" i="1" l="1"/>
  <c r="I95" i="1" s="1"/>
  <c r="H79" i="5"/>
  <c r="J81" i="5"/>
  <c r="N77" i="5"/>
  <c r="N89" i="5"/>
  <c r="O74" i="5"/>
  <c r="L89" i="5"/>
  <c r="M89" i="5" s="1"/>
  <c r="L77" i="5"/>
  <c r="M77" i="5" s="1"/>
  <c r="P74" i="5"/>
  <c r="Q74" i="5" s="1"/>
  <c r="I81" i="5"/>
  <c r="K81" i="5"/>
  <c r="K77" i="5"/>
  <c r="I77" i="5"/>
  <c r="O89" i="5" l="1"/>
  <c r="N81" i="5"/>
  <c r="O77" i="5"/>
  <c r="L81" i="5"/>
  <c r="M81" i="5" s="1"/>
  <c r="L88" i="5"/>
  <c r="P77" i="5"/>
  <c r="Q77" i="5" s="1"/>
  <c r="P89" i="5"/>
  <c r="Q89" i="5" s="1"/>
  <c r="O81" i="5" l="1"/>
  <c r="N79" i="5"/>
  <c r="P88" i="5"/>
  <c r="Q88" i="5" s="1"/>
  <c r="L79" i="5"/>
  <c r="P81" i="5"/>
  <c r="Q81" i="5" s="1"/>
  <c r="O79" i="5" l="1"/>
  <c r="P79" i="5"/>
  <c r="Q79" i="5" s="1"/>
  <c r="I26" i="1" l="1"/>
  <c r="I25" i="1"/>
  <c r="I24" i="1"/>
  <c r="I23" i="1"/>
  <c r="I28" i="1"/>
  <c r="I29" i="1"/>
  <c r="H27" i="1"/>
  <c r="F9" i="5" l="1"/>
  <c r="E9" i="5" s="1"/>
  <c r="L9" i="5"/>
  <c r="I76" i="1"/>
  <c r="I54" i="1"/>
  <c r="I39" i="1"/>
  <c r="N9" i="5" l="1"/>
  <c r="L28" i="5"/>
  <c r="L50" i="5" s="1"/>
  <c r="L78" i="5" s="1"/>
  <c r="P9" i="5" l="1"/>
  <c r="P28" i="5" s="1"/>
  <c r="P50" i="5" s="1"/>
  <c r="P78" i="5" s="1"/>
  <c r="N28" i="5"/>
  <c r="N50" i="5" s="1"/>
  <c r="N78" i="5" s="1"/>
  <c r="I80" i="5" l="1"/>
  <c r="M80" i="5"/>
  <c r="K80" i="5"/>
  <c r="G80" i="5"/>
  <c r="G79" i="5"/>
  <c r="J79" i="5" l="1"/>
  <c r="I79" i="5"/>
  <c r="K79" i="5"/>
  <c r="G7" i="6"/>
  <c r="E28" i="5"/>
  <c r="E50" i="5" s="1"/>
  <c r="E78" i="5" s="1"/>
  <c r="H28" i="5"/>
  <c r="H50" i="5" s="1"/>
  <c r="H78" i="5" s="1"/>
  <c r="F28" i="5"/>
  <c r="F50" i="5" s="1"/>
  <c r="F78" i="5" s="1"/>
  <c r="M79" i="5" l="1"/>
  <c r="H87" i="1"/>
  <c r="E10" i="5"/>
  <c r="E27" i="5" s="1"/>
  <c r="E5" i="5" s="1"/>
  <c r="I89" i="1" l="1"/>
  <c r="I90" i="1" s="1"/>
  <c r="G11" i="5"/>
  <c r="F10" i="5"/>
  <c r="F27" i="5" s="1"/>
  <c r="I11" i="5"/>
  <c r="M11" i="5"/>
  <c r="H10" i="5"/>
  <c r="G27" i="5"/>
  <c r="K11" i="5"/>
  <c r="E4" i="5"/>
  <c r="E90" i="5"/>
  <c r="K10" i="5" l="1"/>
  <c r="F90" i="5"/>
  <c r="F88" i="5" s="1"/>
  <c r="F6" i="5"/>
  <c r="F5" i="5"/>
  <c r="G10" i="5"/>
  <c r="F4" i="5"/>
  <c r="J10" i="5"/>
  <c r="J27" i="5" s="1"/>
  <c r="N11" i="5"/>
  <c r="I10" i="5"/>
  <c r="H27" i="5"/>
  <c r="E88" i="5"/>
  <c r="G90" i="5"/>
  <c r="H5" i="5" l="1"/>
  <c r="H6" i="5"/>
  <c r="J5" i="5"/>
  <c r="L6" i="5"/>
  <c r="I86" i="1"/>
  <c r="M10" i="5"/>
  <c r="G88" i="5"/>
  <c r="I27" i="5"/>
  <c r="H4" i="5"/>
  <c r="H90" i="5"/>
  <c r="J90" i="5" s="1"/>
  <c r="M27" i="5"/>
  <c r="K27" i="5"/>
  <c r="O11" i="5"/>
  <c r="N10" i="5"/>
  <c r="J4" i="5"/>
  <c r="H88" i="5" l="1"/>
  <c r="I90" i="5"/>
  <c r="J88" i="5"/>
  <c r="H100" i="1" s="1"/>
  <c r="I101" i="1" s="1"/>
  <c r="K90" i="5"/>
  <c r="O10" i="5"/>
  <c r="N27" i="5"/>
  <c r="I102" i="1" l="1"/>
  <c r="I103" i="1" s="1"/>
  <c r="N6" i="5"/>
  <c r="N5" i="5"/>
  <c r="P6" i="5"/>
  <c r="O27" i="5"/>
  <c r="N90" i="5"/>
  <c r="N4" i="5"/>
  <c r="I88" i="5"/>
  <c r="M88" i="5"/>
  <c r="K88" i="5"/>
  <c r="M90" i="5"/>
  <c r="N88" i="5" l="1"/>
  <c r="O88" i="5" s="1"/>
  <c r="O90" i="5"/>
  <c r="I30" i="1" l="1"/>
  <c r="H65" i="1" l="1"/>
  <c r="I65" i="1" s="1"/>
  <c r="H64" i="1" l="1"/>
  <c r="I64" i="1" s="1"/>
  <c r="H63" i="1" l="1"/>
  <c r="I63" i="1" s="1"/>
  <c r="I70" i="1" l="1"/>
  <c r="I62" i="1" l="1"/>
  <c r="H69" i="1"/>
  <c r="I69" i="1" s="1"/>
  <c r="I68" i="1" l="1"/>
  <c r="H82" i="1"/>
  <c r="I82" i="1" l="1"/>
  <c r="I81" i="1" s="1"/>
  <c r="I119" i="1"/>
  <c r="I128" i="1"/>
  <c r="I16" i="8"/>
  <c r="I15" i="8" s="1"/>
  <c r="I13" i="8" s="1"/>
  <c r="H16" i="1" s="1"/>
  <c r="H15" i="1" l="1"/>
  <c r="I16" i="1"/>
  <c r="G72" i="1"/>
  <c r="J5" i="1"/>
  <c r="H72" i="1"/>
  <c r="I73" i="1" s="1"/>
  <c r="I74" i="1" s="1"/>
  <c r="I15" i="1" l="1"/>
  <c r="I27" i="1" s="1"/>
  <c r="H73" i="1" l="1"/>
  <c r="H74" i="1" l="1"/>
  <c r="I75" i="1"/>
  <c r="I25" i="8"/>
  <c r="I24" i="8" s="1"/>
  <c r="I22" i="8" s="1"/>
  <c r="H75" i="1" l="1"/>
  <c r="I72" i="1"/>
  <c r="I22" i="1"/>
  <c r="H21" i="1"/>
  <c r="I21" i="1" l="1"/>
  <c r="I14" i="1" s="1"/>
  <c r="I37" i="1"/>
  <c r="H36" i="1" l="1"/>
  <c r="I36" i="1" s="1"/>
  <c r="I35" i="1" l="1"/>
  <c r="I85" i="1"/>
  <c r="I10" i="1" s="1"/>
  <c r="J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Lara Garrido</author>
  </authors>
  <commentList>
    <comment ref="C11" authorId="0" shapeId="0" xr:uid="{00000000-0006-0000-0100-000001000000}">
      <text>
        <r>
          <rPr>
            <sz val="9"/>
            <color indexed="81"/>
            <rFont val="Tahoma"/>
            <family val="2"/>
          </rPr>
          <t xml:space="preserve">Introduzca los datos totales en esta fila o el 
detalle en las siguientes.
</t>
        </r>
      </text>
    </comment>
    <comment ref="C19" authorId="0" shapeId="0" xr:uid="{00000000-0006-0000-0100-000002000000}">
      <text>
        <r>
          <rPr>
            <sz val="9"/>
            <color indexed="81"/>
            <rFont val="Tahoma"/>
            <family val="2"/>
          </rPr>
          <t xml:space="preserve">Introduzca los datos totales en esta fila o el 
detalle en las siguientes.
</t>
        </r>
      </text>
    </comment>
    <comment ref="C30" authorId="0" shapeId="0" xr:uid="{00000000-0006-0000-0100-000003000000}">
      <text>
        <r>
          <rPr>
            <sz val="9"/>
            <color indexed="81"/>
            <rFont val="Tahoma"/>
            <family val="2"/>
          </rPr>
          <t xml:space="preserve">Introduzca los datos totales en esta fila o el 
detalle en las siguientes.
</t>
        </r>
      </text>
    </comment>
    <comment ref="C35" authorId="0" shapeId="0" xr:uid="{00000000-0006-0000-0100-000004000000}">
      <text>
        <r>
          <rPr>
            <sz val="9"/>
            <color indexed="81"/>
            <rFont val="Tahoma"/>
            <family val="2"/>
          </rPr>
          <t xml:space="preserve">Introduzca los datos totales en esta fila o el 
detalle en las siguientes.
</t>
        </r>
      </text>
    </comment>
    <comment ref="C42" authorId="0" shapeId="0" xr:uid="{00000000-0006-0000-0100-000005000000}">
      <text>
        <r>
          <rPr>
            <sz val="9"/>
            <color indexed="81"/>
            <rFont val="Tahoma"/>
            <family val="2"/>
          </rPr>
          <t xml:space="preserve">Introduzca los datos totales en esta fila o el 
detalle en las siguientes.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Lara Garrido</author>
  </authors>
  <commentList>
    <comment ref="I13" authorId="0" shapeId="0" xr:uid="{00000000-0006-0000-0500-000001000000}">
      <text>
        <r>
          <rPr>
            <sz val="9"/>
            <color indexed="81"/>
            <rFont val="Tahoma"/>
            <family val="2"/>
          </rPr>
          <t>Este dato se traslada a al criterio CS1 de la autobaremación</t>
        </r>
      </text>
    </comment>
  </commentList>
</comments>
</file>

<file path=xl/sharedStrings.xml><?xml version="1.0" encoding="utf-8"?>
<sst xmlns="http://schemas.openxmlformats.org/spreadsheetml/2006/main" count="2051" uniqueCount="1183">
  <si>
    <t>Física</t>
  </si>
  <si>
    <t>Tipo Persona</t>
  </si>
  <si>
    <t>Jurídica</t>
  </si>
  <si>
    <t>Proyecto:</t>
  </si>
  <si>
    <t>Municipios</t>
  </si>
  <si>
    <t>ALCALA LA REAL</t>
  </si>
  <si>
    <t>ALCAUDETE</t>
  </si>
  <si>
    <t>CASTILLO DE LOCUBIN</t>
  </si>
  <si>
    <t>FRAILES</t>
  </si>
  <si>
    <t>JAMILENA</t>
  </si>
  <si>
    <t>MARTOS</t>
  </si>
  <si>
    <t>TORREDELCAMPO</t>
  </si>
  <si>
    <t>COMARCA</t>
  </si>
  <si>
    <t>Municipio:</t>
  </si>
  <si>
    <t>COD.</t>
  </si>
  <si>
    <t>GRUPO INTERVENCIONES</t>
  </si>
  <si>
    <t>BENEFICIARIOS</t>
  </si>
  <si>
    <t>TIPO DE PROYECTO</t>
  </si>
  <si>
    <t>Productivo</t>
  </si>
  <si>
    <t>No productivo</t>
  </si>
  <si>
    <t>Tipo Promotor</t>
  </si>
  <si>
    <t>GDR</t>
  </si>
  <si>
    <t>General</t>
  </si>
  <si>
    <t/>
  </si>
  <si>
    <t xml:space="preserve"> </t>
  </si>
  <si>
    <t>ACTUACIÓN PARA EL FORTALECIMIENTO Y ANIMACIÓN DEL TEJIDO ASOCIATIVO COMARCAL</t>
  </si>
  <si>
    <t>ACTUACIÓN PARA LA VERTEBRACIÓN EMPRESARIAL Y LABORAL, LA FORMACIÓN ORIENTADA AL EMPLEO Y LA INTEGRACIÓN SOCIAL</t>
  </si>
  <si>
    <t>PLAN INTEGRAL DE APOYO AL TEJIDO PRODUCTIVO A TRAVÉS DE EMPRESAS QUE FAVOREZCAN EL EMPLEO COMARCAL</t>
  </si>
  <si>
    <t>Asociaciones</t>
  </si>
  <si>
    <t>Ayuntamientos</t>
  </si>
  <si>
    <t>CS1</t>
  </si>
  <si>
    <t xml:space="preserve">EMPLEO </t>
  </si>
  <si>
    <t xml:space="preserve">A) CREACIÓN DE EMPLEO </t>
  </si>
  <si>
    <t>CS1.1</t>
  </si>
  <si>
    <t>CS1.2</t>
  </si>
  <si>
    <t>Periodo elegible para puntuar: Desde la Solicitud de Ayuda hasta la Solicitud de Pago.</t>
  </si>
  <si>
    <t>CS1.3</t>
  </si>
  <si>
    <t>CS1.4</t>
  </si>
  <si>
    <t>CS1.5</t>
  </si>
  <si>
    <t xml:space="preserve">B) MANTENIMIENTO DE EMPLEO </t>
  </si>
  <si>
    <t>CS1.6</t>
  </si>
  <si>
    <t>CS1.7</t>
  </si>
  <si>
    <t>CS1.8</t>
  </si>
  <si>
    <t>CS1.9</t>
  </si>
  <si>
    <t>CS1.10</t>
  </si>
  <si>
    <t>CS1.15</t>
  </si>
  <si>
    <t>CS1.17</t>
  </si>
  <si>
    <t>Código</t>
  </si>
  <si>
    <t>CRITERIO/Subcriterio</t>
  </si>
  <si>
    <t>Forma Objetiva de Valoración</t>
  </si>
  <si>
    <t>Puntos máx.</t>
  </si>
  <si>
    <t>CS2</t>
  </si>
  <si>
    <t>LOCALIZACIÓN DEL PROYECTO</t>
  </si>
  <si>
    <t>CS2.1</t>
  </si>
  <si>
    <t>Excluyente</t>
  </si>
  <si>
    <t>CS2.2</t>
  </si>
  <si>
    <t>CS2.3</t>
  </si>
  <si>
    <t>CS3</t>
  </si>
  <si>
    <t>HISTORIAL DE AYUDAS RECIBIDAS</t>
  </si>
  <si>
    <t>CS3.1</t>
  </si>
  <si>
    <t>CS3.2</t>
  </si>
  <si>
    <t>CS3.3</t>
  </si>
  <si>
    <t>CS4</t>
  </si>
  <si>
    <t>CS4.1</t>
  </si>
  <si>
    <t>CS4.2</t>
  </si>
  <si>
    <t>CS4.3</t>
  </si>
  <si>
    <t>CS4.4</t>
  </si>
  <si>
    <t>CS4.5</t>
  </si>
  <si>
    <t>CS4.6</t>
  </si>
  <si>
    <t>CS5</t>
  </si>
  <si>
    <t>CS5.1</t>
  </si>
  <si>
    <t>CS5.2</t>
  </si>
  <si>
    <t>CS5.3</t>
  </si>
  <si>
    <t>CS5.4</t>
  </si>
  <si>
    <t>CS5.5</t>
  </si>
  <si>
    <t>CS5.6</t>
  </si>
  <si>
    <t>CS5.7</t>
  </si>
  <si>
    <t>CS6</t>
  </si>
  <si>
    <t>MODALIDAD DEL PROYECTO</t>
  </si>
  <si>
    <t>CS6.1</t>
  </si>
  <si>
    <t>CS6.2</t>
  </si>
  <si>
    <t>CS6.3</t>
  </si>
  <si>
    <t>CS6.4</t>
  </si>
  <si>
    <t>CS6.5</t>
  </si>
  <si>
    <t>CS6.6</t>
  </si>
  <si>
    <t>CS6.7</t>
  </si>
  <si>
    <t>CS7</t>
  </si>
  <si>
    <t>CARÁCTER ENDÓGENO SEGÚN RESIDENCIA DE QUIEN PROMUEVE EL PROYECTO</t>
  </si>
  <si>
    <t>CS7.1</t>
  </si>
  <si>
    <t>CS7.2</t>
  </si>
  <si>
    <t>CS7.3</t>
  </si>
  <si>
    <t>CS8</t>
  </si>
  <si>
    <t>RELACIÓN INVERSIÓN-CREACIÓN DE EMPLEO</t>
  </si>
  <si>
    <t>CS8.1</t>
  </si>
  <si>
    <t>CS8.2</t>
  </si>
  <si>
    <t>CS8.3</t>
  </si>
  <si>
    <t>CS9</t>
  </si>
  <si>
    <t>GRADO DE PARTICIPACION Y COOPERACIÓN DE QUIEN PROMUEVE EL PROYECTO</t>
  </si>
  <si>
    <t>CS9.1</t>
  </si>
  <si>
    <t>CS9.2</t>
  </si>
  <si>
    <t>CS9.3</t>
  </si>
  <si>
    <t>CS10</t>
  </si>
  <si>
    <t>ACCESO Y CALIDAD DE LOS SERVICIOS DE PROXIMIDAD</t>
  </si>
  <si>
    <t>CS10.1</t>
  </si>
  <si>
    <t>CS10.2</t>
  </si>
  <si>
    <t>CS10.3</t>
  </si>
  <si>
    <t>CS10.4</t>
  </si>
  <si>
    <t>CS11</t>
  </si>
  <si>
    <t>VIABILIDAD ECONOMICA, FINANCIERA Y SOLVENCIA</t>
  </si>
  <si>
    <t>CS11.1</t>
  </si>
  <si>
    <t>CS11.2</t>
  </si>
  <si>
    <t>CS11.3</t>
  </si>
  <si>
    <t>CS12</t>
  </si>
  <si>
    <t>GRADO DE INNOVACIÓN DEL PROYECTO</t>
  </si>
  <si>
    <t>CS12.1</t>
  </si>
  <si>
    <t>Si se argumenta la existencia de ese nº de elementos innovadores de forma conveniente se le asigna esta puntuación.</t>
  </si>
  <si>
    <t>CS12.2</t>
  </si>
  <si>
    <t xml:space="preserve">Si se argumenta la existencia de ese nº de elementos innovadores de forma conveniente se le asigna esta puntuación. </t>
  </si>
  <si>
    <t>CS12.3</t>
  </si>
  <si>
    <t>CS12.4</t>
  </si>
  <si>
    <t>CS12.5</t>
  </si>
  <si>
    <t>CS13</t>
  </si>
  <si>
    <t>NUMERO DE NECESIDADES QUE CUBRE DE LA ESTRATEGIA</t>
  </si>
  <si>
    <t>CS13.1</t>
  </si>
  <si>
    <t>Si se justifica que el proyecto responde a ese nº de necesidades de forma conveniente se le asigna esta puntuación.</t>
  </si>
  <si>
    <t>CS13.2</t>
  </si>
  <si>
    <t>CS13.3</t>
  </si>
  <si>
    <t>CS13.4</t>
  </si>
  <si>
    <t>CS13.5</t>
  </si>
  <si>
    <t>SI/NO</t>
  </si>
  <si>
    <t>AIE1</t>
  </si>
  <si>
    <t>AIE2</t>
  </si>
  <si>
    <t>AIE3</t>
  </si>
  <si>
    <t>AIE4</t>
  </si>
  <si>
    <t>AIE5</t>
  </si>
  <si>
    <t>AIE6</t>
  </si>
  <si>
    <t>AIE7</t>
  </si>
  <si>
    <t>AIE8</t>
  </si>
  <si>
    <t>AIE9</t>
  </si>
  <si>
    <t>AIE10</t>
  </si>
  <si>
    <t>AIE11</t>
  </si>
  <si>
    <t>AIE12</t>
  </si>
  <si>
    <t>AIE13</t>
  </si>
  <si>
    <t>AIE14</t>
  </si>
  <si>
    <t>AIE15</t>
  </si>
  <si>
    <t>AIE16</t>
  </si>
  <si>
    <t>AIE17</t>
  </si>
  <si>
    <t>AIE18</t>
  </si>
  <si>
    <t>AIE19</t>
  </si>
  <si>
    <t>AIE20</t>
  </si>
  <si>
    <t>AIE21</t>
  </si>
  <si>
    <t>AIE22</t>
  </si>
  <si>
    <t>AIE23</t>
  </si>
  <si>
    <t>AIE24</t>
  </si>
  <si>
    <t>AIE25</t>
  </si>
  <si>
    <t>Fecha</t>
  </si>
  <si>
    <t>Tipo Empresa:</t>
  </si>
  <si>
    <t>Total Inversión</t>
  </si>
  <si>
    <t>Si/No</t>
  </si>
  <si>
    <t>No</t>
  </si>
  <si>
    <t>Si</t>
  </si>
  <si>
    <t>TOTAL</t>
  </si>
  <si>
    <t>Zona</t>
  </si>
  <si>
    <t>ID</t>
  </si>
  <si>
    <t>Criterio</t>
  </si>
  <si>
    <t>Subcriterio</t>
  </si>
  <si>
    <t>Valor</t>
  </si>
  <si>
    <t>Cantidad</t>
  </si>
  <si>
    <t>En,</t>
  </si>
  <si>
    <t>Fdo.</t>
  </si>
  <si>
    <t>TABLA DE NECESIDADES ORDENADAS SEGÚN RESULTADOS ENCUESTA DE PRIORIZACION</t>
  </si>
  <si>
    <t>Apoyo a la creación, ampliación y modernización de pequeñas y medianas empresas (pymes) que consoliden y refuercen el tejido industrial comarcal.</t>
  </si>
  <si>
    <t>N.1</t>
  </si>
  <si>
    <t>Mejora de la comercialización del aceite de oliva, con especial atención al aove (aceite oliva virgen extra).</t>
  </si>
  <si>
    <t>N.2</t>
  </si>
  <si>
    <t>Mejora de la calidad del empleo, dotándolo de estabilidad y reduciendo temporalidad.</t>
  </si>
  <si>
    <t>N.3</t>
  </si>
  <si>
    <t>Mejora de la oferta de servicios, impulsando la implantación de nuevas empresas, la diversificación de las existentes, y la promoción de los nuevos yacimientos de empleo.</t>
  </si>
  <si>
    <t>N.4</t>
  </si>
  <si>
    <t>Diversificación de la actividad empresarial e industrial de la comarca, favoreciendo la instalación de empresas en municipios de menor población con mayor dependencia del sector agrícola, ganadero y agroalimentario, contribuyendo a la erradicación de la economía sumergida, la competencia desleal y la excesiva dependencia de los subsidios.</t>
  </si>
  <si>
    <t>N.5</t>
  </si>
  <si>
    <t>Diversificación de la producción agrícola con la introducción de cultivos alternativos que reduzcan la excesiva dependencia del monocultivo del olivar.</t>
  </si>
  <si>
    <t>N.6</t>
  </si>
  <si>
    <t>Dotación de infraestructuras y equipamientos industriales de calidad.</t>
  </si>
  <si>
    <t>N.7</t>
  </si>
  <si>
    <t>Fomento de proyectos de I+D+I (innovación, desarrollo e investigación), apoyados en los centros tecnológicos existentes, promoviendo ejes industriales en torno a sectores de actividad con potencialidad confirmada como la industria del plástico.</t>
  </si>
  <si>
    <t>N.8</t>
  </si>
  <si>
    <t>Apoyo a proyectos promovidos en todos los sectores de actividad, que garanticen la productividad supeditada a la generación de empleo estable y de calidad.</t>
  </si>
  <si>
    <t>N.9</t>
  </si>
  <si>
    <t>Desarrollo e implantación de las energías renovables: biomasa, solar, eólica e hidroeléctrica, promoviendo su utilización por las empresas, de cara a la reducción de emisiones de gases a la atmósfera y a la lucha contra el cambio climático.</t>
  </si>
  <si>
    <t>N.10</t>
  </si>
  <si>
    <t xml:space="preserve">Promoción de la agricultura ecológica e incorporación de mayor valor añadido a los productos agroalimentarios locales. </t>
  </si>
  <si>
    <t>N.11</t>
  </si>
  <si>
    <t xml:space="preserve">Fomento de actividades empresariales y actuaciones que favorezcan la sostenibilidad y la biodiversidad: industria asociada al reciclaje de residuos, depuración de aguas residuales, empresas relacionadas con las energías renovables, ligadas a reserva astronómica Starlight, gestión de vertederos incontrolados, aprovechamientos forestales. </t>
  </si>
  <si>
    <t>N.12</t>
  </si>
  <si>
    <t>Mejora del empleo, con especial atención a la población joven, a través del apoyo al autoempleo y a fórmulas de cooperativismo y asociacionismo mercantil.</t>
  </si>
  <si>
    <t>N.13</t>
  </si>
  <si>
    <t>Diversificación turística incorporando diferenciación, autenticidad,  y potenciando segmentos emergentes como el Astroturismo y el Oleoturismo.</t>
  </si>
  <si>
    <t>N.14</t>
  </si>
  <si>
    <t xml:space="preserve">Mejora del acceso a recursos e incentivos para empresas, instituciones y organizaciones sin ánimo de lucro, facilitando su tramitación administrativa.  </t>
  </si>
  <si>
    <t>N.15</t>
  </si>
  <si>
    <t>Divulgación y promoción mediática de los recursos y productos turísticos existentes.</t>
  </si>
  <si>
    <t>N.16</t>
  </si>
  <si>
    <t xml:space="preserve">Concienciación del empresariado acerca de la importancia de los recursos humanos como parte fundamental en la productividad de la empresa. </t>
  </si>
  <si>
    <t>N.17</t>
  </si>
  <si>
    <t>Fomento de la cultura emprendedora entre las mujeres, a través de la promoción y el efecto demostrativo de experiencias de éxito llevadas a cabo por mujeres.</t>
  </si>
  <si>
    <t>N.18</t>
  </si>
  <si>
    <t>Fortalecimiento de las infraestructuras y los espacios públicos con equipamiento adecuado y de calidad.</t>
  </si>
  <si>
    <t>N.19</t>
  </si>
  <si>
    <t>Mejora de la accesibilidad a los recursos y servicios básicos, y apoyo de iniciativas cuyo objeto sea el cuidado y atención de personas con dependencia</t>
  </si>
  <si>
    <t>N.20</t>
  </si>
  <si>
    <t>Fomento de una mayor participación e implicación social de la población, especialmente de la población joven.</t>
  </si>
  <si>
    <t>N.21</t>
  </si>
  <si>
    <t xml:space="preserve">Mejora de las infraestructuras medioambientales, en especial las de tratamiento de aguas y de residuos. </t>
  </si>
  <si>
    <t>N.22</t>
  </si>
  <si>
    <t>Desarrollo de la competitividad turística aumentando la insuficiente capacidad hostelera.</t>
  </si>
  <si>
    <t>N.23</t>
  </si>
  <si>
    <t>Fomento de la inserción laboral de personas pertenecientes a colectivos con especiales dificultades de incorporación al mercado laboral.</t>
  </si>
  <si>
    <t>N.24</t>
  </si>
  <si>
    <t>Mejora del acceso a la financiación ajena, en particular a nuevos emprendedores y jóvenes.</t>
  </si>
  <si>
    <t>N.25</t>
  </si>
  <si>
    <t>Fomento del turismo de naturaleza, de termalismo y balnearios, monumental y cultural, y turismo activo, incluyendo la señalización del recurso.</t>
  </si>
  <si>
    <t>N.26</t>
  </si>
  <si>
    <t xml:space="preserve">Mejora de la coordinación institucional público-privada, fomentando la transparencia global. </t>
  </si>
  <si>
    <t>N.27</t>
  </si>
  <si>
    <t>Mejora de la empleabilidad de la población joven, apoyando programas de asesoramiento y orientación para la búsqueda de empleo y para el autoempleo.</t>
  </si>
  <si>
    <t>N.28</t>
  </si>
  <si>
    <t xml:space="preserve">Apoyo a las iniciativas de emprendimiento de jóvenes, proporcionando asesoramiento para la puesta en marcha y financiación de sus proyectos y aplicando la discriminación positiva en su baremación.  </t>
  </si>
  <si>
    <t>N.29</t>
  </si>
  <si>
    <t>Freno al despoblamiento de las zonas rurales,  mejorando el retorno de población emigrante.</t>
  </si>
  <si>
    <t>N.30</t>
  </si>
  <si>
    <t>Promoción de la creación de una denominación de origen de aceite oliva comarcal que aporte un plus al producto y ofrezca una mejor comercialización.</t>
  </si>
  <si>
    <t>N.31</t>
  </si>
  <si>
    <t>Fomento de un asesoramiento eficiente para iniciativas de personas emprendedoras en el sector servicios, en particular las promovidas por jóvenes y mujeres.</t>
  </si>
  <si>
    <t>N.32</t>
  </si>
  <si>
    <t>Implantación de buenas prácticas agrícolas y ganaderas, que garanticen una renta agraria mínima para los agricultores y ganaderos, favoreciendo su fijación al medio rural, ayudando a la explotación sostenible de su actividad y a la conservación del medioambiente.</t>
  </si>
  <si>
    <t>N.33</t>
  </si>
  <si>
    <t>Mejora de la deficiente estructura interna de las empresas industriales.</t>
  </si>
  <si>
    <t>N.34</t>
  </si>
  <si>
    <t>Mejora de la formación y cualificación de la población de la comarca en diferentes ámbitos de conocimiento: empleabilidad, cultura emprendedora, cualificación empresarial y laboral y sensibilización-dinamización de la población.</t>
  </si>
  <si>
    <t>N.35</t>
  </si>
  <si>
    <t>Mejora del posicionamiento del comercio local y de otros servicios locales frente a la gran distribución (grandes superficies, comercio global,..).</t>
  </si>
  <si>
    <t>N.36</t>
  </si>
  <si>
    <t>Aumento de la inversión en actuaciones sobre el patrimonio monumental, histórico, artístico y cultural de la comarca que mejore la calidad del destino turístico.</t>
  </si>
  <si>
    <t>N.37</t>
  </si>
  <si>
    <t>Programación de actividades culturales, deportivas y medioambientales diseñadas teniendo en cuenta de manera específica las expectativas y los intereses de la población joven, de manera que se promueva su participación.</t>
  </si>
  <si>
    <t>N.38</t>
  </si>
  <si>
    <t xml:space="preserve">Impulso de la coordinación institucional efectiva, de cara al mejor aprovechamiento de los recursos disponibles. </t>
  </si>
  <si>
    <t>N.39</t>
  </si>
  <si>
    <t xml:space="preserve">Mejora de la integración cooperativa agrícola y ganadera que permita una dimensión adecuada para conseguir mayor rentabilidad, autonomía e independencia frente a terceros. </t>
  </si>
  <si>
    <t>N.40</t>
  </si>
  <si>
    <t>Mejora de la competitividad de las explotaciones agrícolas y ganaderas.</t>
  </si>
  <si>
    <t>N.41</t>
  </si>
  <si>
    <t>Atención de la demanda creciente no cubierta de productos agroalimentarios autóctonos de calidad certificada a nivel nacional e internacional.</t>
  </si>
  <si>
    <t>N.42</t>
  </si>
  <si>
    <t>Impulso de las infraestructuras y los servicios de información y comunicación, así como de su accesibilidad, de cara a corregir la brecha digital.</t>
  </si>
  <si>
    <t>N.43</t>
  </si>
  <si>
    <t>Implantación de la administración electrónica en la prestación de los servicios públicos, favoreciendo la simplificación de los trámites administrativos.</t>
  </si>
  <si>
    <t>N.44</t>
  </si>
  <si>
    <t>Asesoramiento para la búsqueda de empleo y fomento de las políticas activas de empleo en el medio rural.</t>
  </si>
  <si>
    <t>N.45</t>
  </si>
  <si>
    <t xml:space="preserve">Sensibilización y educación ambiental en todas sus vertientes: gestión sostenible de los recursos, reducción de la contaminación lumínica de los cielos nocturnos, descenso del consumo energético, impulso del reciclaje de residuos industriales y urbanos.  </t>
  </si>
  <si>
    <t>N.46</t>
  </si>
  <si>
    <t>Fomento de la participación sociopolítica de la mujer y su presencia en los niveles de la toma de decisiones, propiciando una composición paritaria en los órganos de representación y decisión, e incorporando la perspectiva de género en la actuación de todas las instituciones.</t>
  </si>
  <si>
    <t>N.47</t>
  </si>
  <si>
    <t>Fomento de programas de asesoramiento y orientación para la búsqueda de empleo dirigidos a mujeres.</t>
  </si>
  <si>
    <t>N.48</t>
  </si>
  <si>
    <t xml:space="preserve">Apoyo a las iniciativas que favorezcan la conciliación. </t>
  </si>
  <si>
    <t>N.49</t>
  </si>
  <si>
    <t xml:space="preserve">Formación y cualificación especializadas, adaptadas a las necesidades del mercado laboral de la comarca (impartición privada de certificaciones oficiales de profesionalidad, postgrados más accesibles, etc.). </t>
  </si>
  <si>
    <t>N.50</t>
  </si>
  <si>
    <t>Implantación de sistemas de eficiencia energética que contribuyan a la lucha contra el cambio climático y favorezcan la preservación de la biodiversidad.</t>
  </si>
  <si>
    <t>N.51</t>
  </si>
  <si>
    <t xml:space="preserve">Consolidación de la gestión territorial en base a la filosofía leader que fomentan las asociaciones para el desarrollo rural como referentes del crecimiento socioeconómico sostenible, dotando los programas con recursos equilibrados acorde a las funciones conferidas. </t>
  </si>
  <si>
    <t>N.52</t>
  </si>
  <si>
    <t xml:space="preserve">Apoyo a emprendedoras en el desarrollo de sus proyectos, proporcionando financiación y asesoramiento para su puesta en marcha, aplicando la discriminación positiva en su baremación, y contribuyendo a reducir la emigración de las mujeres jóvenes cualificadas que facilite su permanencia en la comarca. </t>
  </si>
  <si>
    <t>N.53</t>
  </si>
  <si>
    <t>Creación y consolidación de un tejido asociativo fuerte y participativo que favorezca una mayor presencia de todos los sectores de la población en la vida social de la comarca e impulse el voluntariado.</t>
  </si>
  <si>
    <t>N.54</t>
  </si>
  <si>
    <t xml:space="preserve">Avance hacia la accesibilidad integral como valor indispensable de nuestro turismo. </t>
  </si>
  <si>
    <t>N.55</t>
  </si>
  <si>
    <t>Fomento de la identidad comarcal de la población, huyendo de localismos y favoreciendo proyectos y actividades integrales que beneficien al conjunto de la comarca.</t>
  </si>
  <si>
    <t>N.56</t>
  </si>
  <si>
    <t xml:space="preserve">Fomento de la cultura emprendedora entre la población joven, a través de la promoción y el efecto demostrativo de experiencias de éxito llevadas a cabo por jóvenes de la cultura emprendedora en los jóvenes. </t>
  </si>
  <si>
    <t>N.57</t>
  </si>
  <si>
    <t>Fomento de la gestión económica sostenible de los recursos naturales que genere complementos económicos preservando el medioambiente.</t>
  </si>
  <si>
    <t>N.58</t>
  </si>
  <si>
    <t xml:space="preserve">Sensibilización de la población joven para la eliminación de comportamientos y estereotipos sexistas, apoyando iniciativas dirigidas a la comunidad educativa. </t>
  </si>
  <si>
    <t>N.59</t>
  </si>
  <si>
    <t>Apoyo a las iniciativas que contribuyan al relevo generacional en las asociaciones de mujeres, a la participación de mujeres jóvenes y a la lucha contra la asunción propia de estereotipos de género.</t>
  </si>
  <si>
    <t>N.60</t>
  </si>
  <si>
    <t xml:space="preserve">Dotación de lugares de encuentro para la población joven y fomento de iniciativas que favorezcan el desarrollo de habilidades sociales, la educación en valores y los hábitos saludables a través del ocio. </t>
  </si>
  <si>
    <t>N.61</t>
  </si>
  <si>
    <t>Visibilización del papel de la mujer agrícola y ganadera: concienciación sobre su escaso reconocimiento social, divulgación de su aportación clave en las explotaciones, eliminación de micromachismos y de la excesiva dependencia conyugal muy marcada en el sector.</t>
  </si>
  <si>
    <t>N.62</t>
  </si>
  <si>
    <t>Fomento de la participación de la población joven en la escena social y política comarcal, impulsando la creación de consejos municipales de juventud y fomentando la presencia de jóvenes en los órganos de dirección de instituciones y entidades.</t>
  </si>
  <si>
    <t>N.63</t>
  </si>
  <si>
    <t>Mejora tecnológica del comercio local y otros servicios locales (comercio electrónico, redes sociales, dispositivos móviles…).</t>
  </si>
  <si>
    <t>N.64</t>
  </si>
  <si>
    <t>Implantación de mecanismos que contribuyan a la eficiencia y a la transparencia en los procesos administrativos.</t>
  </si>
  <si>
    <t>N.65</t>
  </si>
  <si>
    <t xml:space="preserve">Promoción del asociacionismo del sector turístico. </t>
  </si>
  <si>
    <t>N.66</t>
  </si>
  <si>
    <t>Búsqueda de una calidad homogénea en los servicios ofertados, con atención post-venta competente, y la consecución de la satisfacción plena del cliente.</t>
  </si>
  <si>
    <t>N.67</t>
  </si>
  <si>
    <t>Fomento de prácticas para sensibilización y mejora del control en relación a los productores e intermediarios sin legalizar.</t>
  </si>
  <si>
    <t>N.68</t>
  </si>
  <si>
    <t>Fomento de la primera instalación de agricultores y ganaderos garantizando el relevo generacional.</t>
  </si>
  <si>
    <t>N.69</t>
  </si>
  <si>
    <t>Planificación específica atendiendo la dualidad de la agricultura comarcal: zona de montaña con baja productividad por orografía y excesiva parcelación de la tierra frente a campiña con explotaciones más intensivas y rentables.</t>
  </si>
  <si>
    <t>N.70</t>
  </si>
  <si>
    <t>Implantación de mecanismos que garanticen el acceso y las condiciones laborales de las mujeres en condiciones de igualdad, apoyando iniciativas que favorezcan la conciliación.</t>
  </si>
  <si>
    <t>N.71</t>
  </si>
  <si>
    <t>Impulso del asociacionismo juvenil y la incorporación en las asociaciones de contenidos relevantes, útiles y de interés, que promuevan la participación de la población joven.</t>
  </si>
  <si>
    <t>N.72</t>
  </si>
  <si>
    <t xml:space="preserve">Declaración de parque natural protegido u otra figura de protección para la sierra sur de Jaén que garantice la permanencia de su biodiversidad y su patrimonio natural. </t>
  </si>
  <si>
    <t>N.73</t>
  </si>
  <si>
    <t>Impulso del asociacionismo empresarial.</t>
  </si>
  <si>
    <t>N.74</t>
  </si>
  <si>
    <t>Diseño e implantación de un plan de igualdad comarcal.</t>
  </si>
  <si>
    <t>N.75</t>
  </si>
  <si>
    <t>Constitución de una federación comarcal de mujeres que de voz a sus aspiraciones a todos los niveles y en todos los organismos e instituciones, promoviendo la creación de una escuela comarcal de género que contribuya a la Visibilización del papel de la mujer.</t>
  </si>
  <si>
    <t>N.76</t>
  </si>
  <si>
    <t>Dotación de instalaciones y equipamientos para organizaciones y asociaciones, especialmente las que promuevan la igualdad de género y las juveniles, facilitando su gestión interna, promocionando su actividad social y mejorando el servicio prestado a las personas usuarias y garantizando el acceso a las nuevas tecnologías de comunicación e información digital.</t>
  </si>
  <si>
    <t>N.77</t>
  </si>
  <si>
    <t>Mayor inversión en la prevención de la violencia de género y en la eliminación de la tolerancia social ante este fenómeno, con especial atención a las actuaciones dirigidas a mujeres jóvenes.</t>
  </si>
  <si>
    <t>N.78</t>
  </si>
  <si>
    <t>Dinamización de la participación social contribuyendo al asociacionismo de cualquier naturaleza, a la sensibilización de la población para la adopción de hábitos saludables y al reconocimiento por parte de la misma de los recursos comarcales.</t>
  </si>
  <si>
    <t>N.79</t>
  </si>
  <si>
    <t>Desarrollo de campañas de sensibilización y acciones formativas en: coeducación, eliminación de estereotipos sexistas, liderazgo y autoestima para mujeres, transversalidad de género. Capacitación de las mujeres para el uso de nuevas tecnologías y entornos digitales.</t>
  </si>
  <si>
    <t>N.80</t>
  </si>
  <si>
    <t>Necesidad</t>
  </si>
  <si>
    <t>Firma</t>
  </si>
  <si>
    <t>Puntuación &lt; 25</t>
  </si>
  <si>
    <t>No indica necesidades</t>
  </si>
  <si>
    <t>Nueva Empresa:</t>
  </si>
  <si>
    <t>VERDADERO/FALSO</t>
  </si>
  <si>
    <t>Alertas</t>
  </si>
  <si>
    <t>LOS VILLARES</t>
  </si>
  <si>
    <t>Filtros</t>
  </si>
  <si>
    <t>No fomenta la igualdad H/M</t>
  </si>
  <si>
    <t>No contribuye a la lucha contra el cambio climático</t>
  </si>
  <si>
    <t>No crea empleo</t>
  </si>
  <si>
    <t>No hay innovación</t>
  </si>
  <si>
    <t xml:space="preserve">Los empleos a considerar son en términos UTA-Unidad de Trabajo Anual (considera un empleo creado si este es a tiempo completo durante todo el año). </t>
  </si>
  <si>
    <t>Limites caracteres proyecto</t>
  </si>
  <si>
    <t>Advertencia</t>
  </si>
  <si>
    <t>Texto  muy breve</t>
  </si>
  <si>
    <t>Texto muy extenso</t>
  </si>
  <si>
    <t>Municipio no seleccionado</t>
  </si>
  <si>
    <t>Fechas Convocatoria</t>
  </si>
  <si>
    <t>Fecha fuera de convocatoria</t>
  </si>
  <si>
    <t>Tipo Promotor:</t>
  </si>
  <si>
    <t>Nº Expte.:</t>
  </si>
  <si>
    <t>Seleccione un valor</t>
  </si>
  <si>
    <t>Inversión Subvencionable</t>
  </si>
  <si>
    <t>Introduzca importe inversión</t>
  </si>
  <si>
    <t>Compruebe el importe de la inversión</t>
  </si>
  <si>
    <t>ACTIVO</t>
  </si>
  <si>
    <t>A) ACTIVO NO CORRIENTE</t>
  </si>
  <si>
    <t>I. Inmovilizado intangible</t>
  </si>
  <si>
    <t>II. Inmovilizado material.</t>
  </si>
  <si>
    <t>III. Inversiones inmobiliarias.</t>
  </si>
  <si>
    <t>IV. Inversiones en empresas del grupo y asociadas a l/p</t>
  </si>
  <si>
    <t>V. Inversiones financieras a largo plazo.</t>
  </si>
  <si>
    <t>VI. Activos por impuesto diferido.</t>
  </si>
  <si>
    <t>B) ACTIVO CORRIENTE</t>
  </si>
  <si>
    <t>I. Activos no corrientes mantenidos para la venta.</t>
  </si>
  <si>
    <t>II. Existencias.</t>
  </si>
  <si>
    <t>III. Deudores comerciales y otras cuentas a cobrar.</t>
  </si>
  <si>
    <t>IV. Inversiones en empresas del grupo y asociadas a c/p.</t>
  </si>
  <si>
    <t>V. Inversiones financieras a corto plazo.</t>
  </si>
  <si>
    <t>VI. Periodificaciones a corto plazo.</t>
  </si>
  <si>
    <t>VII. Efectivo y otros activos líquidos equivalentes.</t>
  </si>
  <si>
    <t>TOTAL ACTIVO (A + B)</t>
  </si>
  <si>
    <t>A) PATRIMONIO NETO</t>
  </si>
  <si>
    <t>I. Fondos propios.</t>
  </si>
  <si>
    <t>II. Ajustes por cambios de valor.</t>
  </si>
  <si>
    <t>III. Subvenciones, donaciones y legados recibidos.</t>
  </si>
  <si>
    <t>B) PASIVO NO CORRIENTE</t>
  </si>
  <si>
    <t>I. Provisiones a largo plazo.</t>
  </si>
  <si>
    <t>II. Deudas a largo plazo.</t>
  </si>
  <si>
    <t>III. Deudas con empresas del grupo y asociadas a largo plazo.</t>
  </si>
  <si>
    <t>IV. Pasivos por impuesto diferido.</t>
  </si>
  <si>
    <t>V.  Periodificaciones a largo plazo.</t>
  </si>
  <si>
    <t>C) PASIVO CORRIENTE</t>
  </si>
  <si>
    <t>I. Pasivos vinculados con activos no corrientes mantenidos para la venta.</t>
  </si>
  <si>
    <t>II. Provisiones a corto plazo.</t>
  </si>
  <si>
    <t>III. Deudas a corto plazo.</t>
  </si>
  <si>
    <t>IV. Deudas con empresas del grupo y asociadas a corto plazo.</t>
  </si>
  <si>
    <t>V. Acreedores comerciales y otras cuentas a pagar.</t>
  </si>
  <si>
    <t>A) Ventas Totales</t>
  </si>
  <si>
    <t>B) Coste de Ventas</t>
  </si>
  <si>
    <t>3. Consumo de mercancías. (-)</t>
  </si>
  <si>
    <t>4. Consumo de materias primas y otras materias consumibles. (-)</t>
  </si>
  <si>
    <t>5. Trabajos realizados por otras empresas. (-)</t>
  </si>
  <si>
    <t>6. Otros aprovisionamientos. (-)</t>
  </si>
  <si>
    <t>C) Resultado Bruto</t>
  </si>
  <si>
    <t>7. Gastos de personal.</t>
  </si>
  <si>
    <t>10. Amortización del inmovilizado. (-)</t>
  </si>
  <si>
    <t>11. Trabajos realizados por la empresa para su activo. (+)</t>
  </si>
  <si>
    <t>12. Deterioro y resultado por enajenaciones del inmovilizado. (-)</t>
  </si>
  <si>
    <t>13. Ingresos financieros. (+)</t>
  </si>
  <si>
    <t>14. Gastos financieros. (-)</t>
  </si>
  <si>
    <t>15. Variación de valor razonable en instrumentos financiero. (+/-)</t>
  </si>
  <si>
    <t>16. Diferencias de cambio. (+/-)</t>
  </si>
  <si>
    <t>17. Deterioro y resultado por enajenaciones de instrumentos financieros. (+/-)</t>
  </si>
  <si>
    <t>18. Resultado extraordinario.</t>
  </si>
  <si>
    <t>19. Impuestos sobre beneficios. (-)</t>
  </si>
  <si>
    <t>G) Resultado neto</t>
  </si>
  <si>
    <t>PASIVO</t>
  </si>
  <si>
    <t>TOTAL PASIVO (A + B + C)</t>
  </si>
  <si>
    <t>CUENTA DE RESULTADOS</t>
  </si>
  <si>
    <t xml:space="preserve">2. Variación de existencias de productos terminados y en curso de fabricación. </t>
  </si>
  <si>
    <t xml:space="preserve">1. Importe neto de la cifra de negocios. </t>
  </si>
  <si>
    <t>Activo</t>
  </si>
  <si>
    <t>Pasivo</t>
  </si>
  <si>
    <t>Resultados</t>
  </si>
  <si>
    <t>8. Ingresos (ordinarios) de explotación. (+)</t>
  </si>
  <si>
    <t>9. Gastos (ordinarios) de explotación. (-)</t>
  </si>
  <si>
    <t>VALDEPEÑAS DE JAÉN</t>
  </si>
  <si>
    <t>FUENSANTA DE MARTOS</t>
  </si>
  <si>
    <t>Completar balance</t>
  </si>
  <si>
    <t>Revisar Resultados</t>
  </si>
  <si>
    <t>RATIOS</t>
  </si>
  <si>
    <t>%DER</t>
  </si>
  <si>
    <t>Ratios</t>
  </si>
  <si>
    <t>2. Total Gastos</t>
  </si>
  <si>
    <t>I) Ratio de Eficacia (Ingresos/Gastos)</t>
  </si>
  <si>
    <t>II) Ratio de Liquidez (Activo Circulante / Pasivo Circulante</t>
  </si>
  <si>
    <t>III) Ratio de Endeudamiento (Deudas a LP / Capitales Propios)</t>
  </si>
  <si>
    <t>V) Ratio de Independencia Financiera (Recursos Propios/Pasivo Exigible x100)</t>
  </si>
  <si>
    <t>1. Activo Circulante</t>
  </si>
  <si>
    <t>2. Pasivo Circulante</t>
  </si>
  <si>
    <t>1. Deudas a LP</t>
  </si>
  <si>
    <t>2. Fondos Propios</t>
  </si>
  <si>
    <t>1. Resultado Antes de Impuestos</t>
  </si>
  <si>
    <t>2. Activo Total</t>
  </si>
  <si>
    <t>1. Recursos Propios</t>
  </si>
  <si>
    <t>2. Pasivo Exigible</t>
  </si>
  <si>
    <t>INVERSIONES</t>
  </si>
  <si>
    <t>A)  INVERSIONES MATERIALES</t>
  </si>
  <si>
    <t>Terrenos y bienes naturales</t>
  </si>
  <si>
    <t>Construcciones.</t>
  </si>
  <si>
    <t>Instalaciones Técnicas</t>
  </si>
  <si>
    <t>Maquinaria</t>
  </si>
  <si>
    <t>Utillaje</t>
  </si>
  <si>
    <t>Mobiliario</t>
  </si>
  <si>
    <t>Elementos para proceso de información</t>
  </si>
  <si>
    <t>Elementos de transportes</t>
  </si>
  <si>
    <t>Investigacion</t>
  </si>
  <si>
    <t>Desarrollo</t>
  </si>
  <si>
    <t>Concesiones administrativas</t>
  </si>
  <si>
    <t>Propiedad Industrial</t>
  </si>
  <si>
    <t>Derechos de traspaso</t>
  </si>
  <si>
    <t>Aplicaciones informaticas</t>
  </si>
  <si>
    <t>Suma</t>
  </si>
  <si>
    <t>Masa</t>
  </si>
  <si>
    <t>Material</t>
  </si>
  <si>
    <t>Intangible</t>
  </si>
  <si>
    <t>…</t>
  </si>
  <si>
    <t>B) INMOVILIZACIONES INMATERIALES</t>
  </si>
  <si>
    <t>TOTAL INVERSION</t>
  </si>
  <si>
    <t>A)  FINANCIACION PROPIA</t>
  </si>
  <si>
    <t>Capital propio</t>
  </si>
  <si>
    <t>Reservas</t>
  </si>
  <si>
    <t>Remanentes de ejercicios</t>
  </si>
  <si>
    <t>B) FINANCIACION AJENA</t>
  </si>
  <si>
    <t>Leasing</t>
  </si>
  <si>
    <t>Importe</t>
  </si>
  <si>
    <t>Ayudas reintegrables</t>
  </si>
  <si>
    <t>Mes</t>
  </si>
  <si>
    <t>Año</t>
  </si>
  <si>
    <t>Carencia</t>
  </si>
  <si>
    <t>A)  CREACION DE EMPLEO</t>
  </si>
  <si>
    <t>Cuenta propia</t>
  </si>
  <si>
    <t>Cuenta ajena</t>
  </si>
  <si>
    <t>B) MANTENIMIENTO DE EMPLEO</t>
  </si>
  <si>
    <t>Total</t>
  </si>
  <si>
    <t>Hombres</t>
  </si>
  <si>
    <t>Mujeres</t>
  </si>
  <si>
    <t>Personas Discapacitadas</t>
  </si>
  <si>
    <t>&gt; de 35 Años</t>
  </si>
  <si>
    <t>Residentes en la Comarca</t>
  </si>
  <si>
    <t>EMPLEOS CREADOS Y MANTENIDOS</t>
  </si>
  <si>
    <t>&lt;35 años</t>
  </si>
  <si>
    <t>Jornada Completa</t>
  </si>
  <si>
    <t>Fijos</t>
  </si>
  <si>
    <t>Eventuales</t>
  </si>
  <si>
    <t>Contratos consolidados</t>
  </si>
  <si>
    <t>Empleo</t>
  </si>
  <si>
    <t>Cada unidad por tanto es un trabajador, a jornada completa trabajando durante todo el año.</t>
  </si>
  <si>
    <t>Para trabajadores con contratos a tiempo parcial o eventuales, se ha de tener en cuenta el numero de horas de la jornada laboral y el numero de días o meses trabajados durante el año.</t>
  </si>
  <si>
    <t>Nueva Empresa (Balances previsionales)</t>
  </si>
  <si>
    <t>Efectos comerciales a pagar a Largo/Plazo</t>
  </si>
  <si>
    <t>Renting/Factoring</t>
  </si>
  <si>
    <t>F) Beneficio antes de impuestos</t>
  </si>
  <si>
    <t>Empresa Existente (Balances reales y previstos)</t>
  </si>
  <si>
    <t>Revise datos ejercicio</t>
  </si>
  <si>
    <t>Revise datos previstos</t>
  </si>
  <si>
    <t>Línea Ayuda:</t>
  </si>
  <si>
    <t>Observación</t>
  </si>
  <si>
    <t>D) Beneficio Explotación Antes de Intereses e Impuestos</t>
  </si>
  <si>
    <t>E) Beneficio Antes de  Intereses e Impuestos</t>
  </si>
  <si>
    <t>20. Deducciones Fiscales. (+)</t>
  </si>
  <si>
    <t>1.Total Ingresos</t>
  </si>
  <si>
    <t>IV) Ratio de Rentabilidad económica (Resultado AI / Activo Total x100)</t>
  </si>
  <si>
    <t>inversión</t>
  </si>
  <si>
    <t>Financiación</t>
  </si>
  <si>
    <t>Prestamos y créditos a largo plazo</t>
  </si>
  <si>
    <t>Prestamos y créditos a corto plazo</t>
  </si>
  <si>
    <t>Prestamos familiares</t>
  </si>
  <si>
    <t>Emisión de acciones</t>
  </si>
  <si>
    <t>La Inversión y Financiación no coinciden</t>
  </si>
  <si>
    <t>% Ayuda Máxima</t>
  </si>
  <si>
    <t>Periodos amortización</t>
  </si>
  <si>
    <t>No cumple Ratio 90.000€  Inversión/UTA</t>
  </si>
  <si>
    <t>Seleccione la línea de ayuda</t>
  </si>
  <si>
    <t>El tipo de promotor no esta incluido en esta línea de ayuda</t>
  </si>
  <si>
    <t>En Riesgo de Exclusión</t>
  </si>
  <si>
    <t>IVA SUBVENCIONABLE</t>
  </si>
  <si>
    <t>Actuacion</t>
  </si>
  <si>
    <t>Partida</t>
  </si>
  <si>
    <t>Moderación Costes</t>
  </si>
  <si>
    <t>Unidades</t>
  </si>
  <si>
    <t>Coste Unitario</t>
  </si>
  <si>
    <t>Base Imponible</t>
  </si>
  <si>
    <t>% IVA</t>
  </si>
  <si>
    <t>Importe IVA</t>
  </si>
  <si>
    <t xml:space="preserve">TOTAL </t>
  </si>
  <si>
    <t>Importe Subvencionable</t>
  </si>
  <si>
    <t>A)  GASTOS SUBVENCIONABLES</t>
  </si>
  <si>
    <t>Otros …</t>
  </si>
  <si>
    <t>B) GASTOS PROPIOS SUBVENCIONABLES</t>
  </si>
  <si>
    <t>C) GASTOS NO SUBVENCIONABLES</t>
  </si>
  <si>
    <t>3 Ofertas/Presupuestos</t>
  </si>
  <si>
    <t>Seleccione Partida</t>
  </si>
  <si>
    <t>Tarifas Oficiales</t>
  </si>
  <si>
    <t>Seleccione tipo de Moderación</t>
  </si>
  <si>
    <t>Otras bases de datos</t>
  </si>
  <si>
    <t>Bienes y Equipos 2º Mano</t>
  </si>
  <si>
    <t>Sueldos y Salarios</t>
  </si>
  <si>
    <t>Informe Justificativo</t>
  </si>
  <si>
    <t>La Inversion y Financiación no coinciden</t>
  </si>
  <si>
    <t>COMPROBACION CON PRESUPUESTO</t>
  </si>
  <si>
    <t>Otras 1 (Indicar)</t>
  </si>
  <si>
    <t>Otras 2 (Indicar)</t>
  </si>
  <si>
    <t>Otras 3 (Indicar)</t>
  </si>
  <si>
    <t>Otras I. 1 (Indicar)</t>
  </si>
  <si>
    <t>Otras I. 2 (Indicar)</t>
  </si>
  <si>
    <t>Otras I. 3 (Indicar)</t>
  </si>
  <si>
    <t>Presupuesto</t>
  </si>
  <si>
    <t>GNoSubv</t>
  </si>
  <si>
    <t>Gsubv</t>
  </si>
  <si>
    <t>Gprop</t>
  </si>
  <si>
    <t>Introduzca unidades</t>
  </si>
  <si>
    <t>Introduzca coste unitario</t>
  </si>
  <si>
    <t>Introduzca % IVA</t>
  </si>
  <si>
    <t>FALSO</t>
  </si>
  <si>
    <t>VERDADERO</t>
  </si>
  <si>
    <t>Otra Propia (1) Indicar</t>
  </si>
  <si>
    <t>Otra Propia (2) Indicar</t>
  </si>
  <si>
    <t>Otra Ajena (1) Indicar</t>
  </si>
  <si>
    <t>Otra Ajena (2) Indicar</t>
  </si>
  <si>
    <t>Otra Ajena (3) Indicar</t>
  </si>
  <si>
    <t>Otras …(1) Indicar</t>
  </si>
  <si>
    <t>Otras …(2) Indicar</t>
  </si>
  <si>
    <t>Otras …(3) Indicar</t>
  </si>
  <si>
    <t>BALANCES Y CUENTAS DE RESULTADOS "PREVISIONES"</t>
  </si>
  <si>
    <t>BALANCES Y CUENTAS DE RESULTADOS "REALES"</t>
  </si>
  <si>
    <t>Tiempo parcial: Convertir nº horas en UTA</t>
  </si>
  <si>
    <t>C) OTROS SUPUESTOS DE EMPLEO</t>
  </si>
  <si>
    <t>Solicitante:</t>
  </si>
  <si>
    <t>Innovacion</t>
  </si>
  <si>
    <t>Marca</t>
  </si>
  <si>
    <t>Justificación</t>
  </si>
  <si>
    <t>DESCRIPCIÓN DEL ASPECTO</t>
  </si>
  <si>
    <t>EJEMPLO</t>
  </si>
  <si>
    <t>Implantar mecanismos y/o técnicas que reduzcan el impacto medioambiental</t>
  </si>
  <si>
    <t>Mejorar la sanidad y la seguridad alimentaria</t>
  </si>
  <si>
    <t>Bateria</t>
  </si>
  <si>
    <t xml:space="preserve">1.1 </t>
  </si>
  <si>
    <t xml:space="preserve">I.1.1.1 </t>
  </si>
  <si>
    <t>Uso de las NTIC en la promoción y comercialización de productos y servicios</t>
  </si>
  <si>
    <t xml:space="preserve">I.1.1.2 </t>
  </si>
  <si>
    <t>Mecanización e informatización de procesos productivos</t>
  </si>
  <si>
    <t xml:space="preserve">I.1.1.3 </t>
  </si>
  <si>
    <t>Conversión hacia la Agricultura Ecológica</t>
  </si>
  <si>
    <t xml:space="preserve">I.1.1.4 </t>
  </si>
  <si>
    <t>Nuevas formas de comercialización de productos locales</t>
  </si>
  <si>
    <t>1.2</t>
  </si>
  <si>
    <t>Área temática 1.2. “Economía y estructura productiva. Industria No Agroalimentaria”</t>
  </si>
  <si>
    <t xml:space="preserve">I.1.2.1 </t>
  </si>
  <si>
    <t xml:space="preserve">I.1.2.2 </t>
  </si>
  <si>
    <t xml:space="preserve">I.1.2.3 </t>
  </si>
  <si>
    <t>Nuevas actividades industriales relacionadas con la I+D+i</t>
  </si>
  <si>
    <t>1.3</t>
  </si>
  <si>
    <t>Área temática 1.3. “Economía y estructura productiva. Turismo y Hostelería”</t>
  </si>
  <si>
    <t xml:space="preserve">I.1.3.1 </t>
  </si>
  <si>
    <t xml:space="preserve">I.1.3.2 </t>
  </si>
  <si>
    <t xml:space="preserve">I.1.3.3 </t>
  </si>
  <si>
    <t>Oferta de nuevos productos turísticos: Astroturismo (a partir de la calificación de Reserva Starlight), OLEOTURISMO (a partir de la Red de Almazaras para la Interpretación de la Cultura del Aceite), TURISMO TERMAL (a partir de los balnearios y recursos te</t>
  </si>
  <si>
    <t>1.4</t>
  </si>
  <si>
    <t>Área temática 1.4. “Economía y estructura productiva. Comercio y Servicios Productivos”</t>
  </si>
  <si>
    <t xml:space="preserve">I.1.4.1 </t>
  </si>
  <si>
    <t xml:space="preserve">I.1.4.2 </t>
  </si>
  <si>
    <t xml:space="preserve">I.1.4.3 </t>
  </si>
  <si>
    <t>I.2</t>
  </si>
  <si>
    <t>Área temática 2 “Mercado de Trabajo”</t>
  </si>
  <si>
    <t xml:space="preserve">I.2.1 </t>
  </si>
  <si>
    <t>Incubadora de empresas (viveros) para el apoyo de actividades emergentes.</t>
  </si>
  <si>
    <t xml:space="preserve">I.2.2 </t>
  </si>
  <si>
    <t>Asesoramiento integral a la población activa en cuanto a orientación e inserción laboral, así como formación en campos innovadores como NNTT, sector agrícola para jóvenes, nuevos cultivos, astronomía.</t>
  </si>
  <si>
    <t>I.3</t>
  </si>
  <si>
    <t>Área temática 3. “Equipamientos, infraestructuras y servicios”</t>
  </si>
  <si>
    <t xml:space="preserve">I.3.1 </t>
  </si>
  <si>
    <t>I.3.2</t>
  </si>
  <si>
    <t>Infraestructuras hacia la Eficiencia Energética.</t>
  </si>
  <si>
    <t>I.4</t>
  </si>
  <si>
    <t>Área temática 4. “Patrimonio Rural, Medio Ambiente y Lucha contra cambio climático”</t>
  </si>
  <si>
    <t>I.4.1</t>
  </si>
  <si>
    <t>Plan Comarcal de Eficiencia Energética.</t>
  </si>
  <si>
    <t>I.4.2</t>
  </si>
  <si>
    <t>Figura de protección para la Sierra Sur de Jaén.</t>
  </si>
  <si>
    <t>I.4.3</t>
  </si>
  <si>
    <t>Elaboración de una estrategia comarcal que fomente el uso de energías renovables.</t>
  </si>
  <si>
    <t>I.4 4</t>
  </si>
  <si>
    <t>Apoyar el reciclaje en todos los ámbitos y sectores de actividad socioeconómica.</t>
  </si>
  <si>
    <t>I.5</t>
  </si>
  <si>
    <t>Área temática 5. “Articulación, situación social y participación ciudadana”</t>
  </si>
  <si>
    <t>I.5.1</t>
  </si>
  <si>
    <t>Administración electrónica real y efectiva</t>
  </si>
  <si>
    <t>I.5.2</t>
  </si>
  <si>
    <t>Utilización de las NTIC para el asesoramiento y la formación online</t>
  </si>
  <si>
    <t>I.5.3</t>
  </si>
  <si>
    <t>Diseño y oferta de nuevos productos y/o servicios a la población basados en la innovación y NNTT.</t>
  </si>
  <si>
    <t>I.6</t>
  </si>
  <si>
    <t xml:space="preserve"> Área temática 6. “Igualdad de género en el medio rural”</t>
  </si>
  <si>
    <t>I.6.1</t>
  </si>
  <si>
    <t>Elaboración de Programas para la incorporación de lenguaje e imagen inclusiva sin entrar en banalidades los/las.</t>
  </si>
  <si>
    <t>I.6.2</t>
  </si>
  <si>
    <t>Atención profesional especializada y coordinada a mujeres.</t>
  </si>
  <si>
    <t>I.6.3</t>
  </si>
  <si>
    <t>Dinamización de la población femenina,  aplicando medidas positivas para fomentar la participación de mujeres en el desarrollo de actividades.</t>
  </si>
  <si>
    <t>I.7</t>
  </si>
  <si>
    <t>Área temática 7. “Promoción y fomento de la participación de la juventud rural”</t>
  </si>
  <si>
    <t>I.7.1</t>
  </si>
  <si>
    <t>Atención profesional especializada y coordinada a jóvenes.</t>
  </si>
  <si>
    <t>I.7.2</t>
  </si>
  <si>
    <t>Fomento de acciones innovadoras para el ocio de jóvenes.</t>
  </si>
  <si>
    <t>I.8</t>
  </si>
  <si>
    <t>Área temática 8. “Comarcal”</t>
  </si>
  <si>
    <t>I.8.1</t>
  </si>
  <si>
    <t>Establecimiento de nuevos enfoques y técnicas sobre emprendimiento empresarial y agrícola, nuevas técnicas de cultivo y desarrollo agrícola, nuevas fórmulas de marketing empresarial, reutilización de subproductos de la industria.</t>
  </si>
  <si>
    <t>I.8.2</t>
  </si>
  <si>
    <t xml:space="preserve">Fomento del consumo de AOVEs de gran calidad y profundizar en sus beneficios a través de la investigación.  </t>
  </si>
  <si>
    <t>I.8.3</t>
  </si>
  <si>
    <t>NNTT aplicadas a los sectores productivos, a la promoción comarcal y de entidades públicas, a la publicidad y marketing de empresas privadas, a la formación y al asesoramiento, al emprendimiento empresarial y agrícola, a la  comercialización y la internacio</t>
  </si>
  <si>
    <t>I.8.4</t>
  </si>
  <si>
    <t>Instalación e implantación de infraestructuras de telecomunicaciones municipales como wimax.</t>
  </si>
  <si>
    <t>I.8.5</t>
  </si>
  <si>
    <t>Promoción de la marca “Territorio Sierra Sur”, en todos los sectores: agroalimentario, turístico, etc.</t>
  </si>
  <si>
    <t>I.8.6</t>
  </si>
  <si>
    <t>Introducción de una oferta educativa innovadora incluyendo el bilingüismo en todos los CEIPs de la comarca.</t>
  </si>
  <si>
    <t>I.8.7</t>
  </si>
  <si>
    <t>Puesta en valor y promoción del patrimonio: Elaboración de estudios, ampliación del patrimonio turístico visitable y divulgación de los trabajos de investigación histórica llevados a cabo en el territorio.</t>
  </si>
  <si>
    <t>Servicios</t>
  </si>
  <si>
    <t>TABLA DE SERVICIOS DE PROXIMIDAD</t>
  </si>
  <si>
    <t>CATEGORIA</t>
  </si>
  <si>
    <t>SERVICIO</t>
  </si>
  <si>
    <t xml:space="preserve">Servicios básicos de abastecimiento o servicios económicos básicos. </t>
  </si>
  <si>
    <t xml:space="preserve">Servicios administrativos. </t>
  </si>
  <si>
    <t xml:space="preserve">Servicios de telecomunicaciones. </t>
  </si>
  <si>
    <t xml:space="preserve">Servicios de emergencia y de seguridad. </t>
  </si>
  <si>
    <t xml:space="preserve">Servicios sanitarios básicos. </t>
  </si>
  <si>
    <t xml:space="preserve">Servicios sanitarios especializados. </t>
  </si>
  <si>
    <t xml:space="preserve">Servicios sociales básicos. </t>
  </si>
  <si>
    <t xml:space="preserve">Servicios educativos y culturales. </t>
  </si>
  <si>
    <t>Equipamientos y servicios deportivos y de ocio.</t>
  </si>
  <si>
    <t xml:space="preserve">Servicios a las personas mayores. </t>
  </si>
  <si>
    <t xml:space="preserve">Servicios de transporte. </t>
  </si>
  <si>
    <t xml:space="preserve">Servicios comerciales y no comerciales especializados. </t>
  </si>
  <si>
    <t>Introducir o Renovar la gama de productos o servicios.</t>
  </si>
  <si>
    <t>Introducir una nueva gama de productos o servicios o Ampliar la gama de productos o servicios existentes</t>
  </si>
  <si>
    <t>Desarrollar productos o servicios respetuosos con el medio ambiente</t>
  </si>
  <si>
    <t>Incorporar cambios en el diseño del producto o servicio que permitan ampliar cuota de mercado</t>
  </si>
  <si>
    <t>Incorporar cambios en funciones del producto o servicio que permitan ampliar cuota de mercado</t>
  </si>
  <si>
    <t>Penetrar en nuevos mercados</t>
  </si>
  <si>
    <t>Implantar mecanismos y/o técnicas que aumenten la  visibilidad de los productos</t>
  </si>
  <si>
    <t>Implantar mecanismos y/o técnicas productivas que reduzcan el plazo de respuesta a las necesidades de la clientela</t>
  </si>
  <si>
    <t>Mejorar o implantar una calidad adecuada de los bienes y servicios</t>
  </si>
  <si>
    <t>Mejorar o implantar una flexibilidad adecuada de la producción o la prestación del servicio</t>
  </si>
  <si>
    <t xml:space="preserve">Implantar mecanismos y/o técnicas productivas que reduzcan los costes laborales unitarios  </t>
  </si>
  <si>
    <t>Implantar mecanismos y/o técnicas productivas que reduzcan el consumo de materiales y/o de energía</t>
  </si>
  <si>
    <t>Implantar mecanismos y/o técnicas que reduzcan los costes de diseño de los productos o servicios.</t>
  </si>
  <si>
    <t>Implantar mecanismos y/o técnicas que reduzcan las demoras en la producción o en la prestación del servicio</t>
  </si>
  <si>
    <t>Cumplir la normativa técnica asociada a la actividad</t>
  </si>
  <si>
    <t>Implantar mecanismos y/o técnicas que reduzcan los costes de explotación vinculados a la prestación de servicios.</t>
  </si>
  <si>
    <t>Implantar mecanismos y/o técnicas que aumenten la eficiencia o rapidez del aprovisionamiento y/o del suministro de inputs.</t>
  </si>
  <si>
    <t>Mejorar los sistemas de información empresariales gracias a la tecnología de la información</t>
  </si>
  <si>
    <t>Mejorar comunicación e interacción en el seno de la empresa.</t>
  </si>
  <si>
    <t>Intensificar la transferencia de conocimiento con otras organizaciones.</t>
  </si>
  <si>
    <t>Implantar mecanismos y/o técnicas que aumenten la adaptabilidad a las distintas demandas de la clientela.</t>
  </si>
  <si>
    <t>Establecer relaciones más estrechas con la clientela.</t>
  </si>
  <si>
    <t>Mejorar las condiciones de trabajo.</t>
  </si>
  <si>
    <t>En un hotel se sustituyen suites por habitaciones cuádruples para acceder al turismo familiar</t>
  </si>
  <si>
    <t>Una quesería introduce un queso de pimentón que no producía hasta el desarrollo del proyecto</t>
  </si>
  <si>
    <t>Se incorpora una maquinaria que reduce el consumo de energía</t>
  </si>
  <si>
    <t>Un restaurante introduce en la carta productos para personas celiacas</t>
  </si>
  <si>
    <t>Una empresa de rutas a caballo incorpora un sistema de equinoterapia</t>
  </si>
  <si>
    <t>Una empresa jamonera adapta instalaciones para cumplir con los requisitos que permitan exportar a EEUU</t>
  </si>
  <si>
    <t>Una empresa incorpora cambios en su envase que mejoran su promoción en el punto de venta</t>
  </si>
  <si>
    <t>Una consultora de desarrollo rural incorpora un sistema de tickets que permite un mejor acceso a las dudas</t>
  </si>
  <si>
    <t>Una empresa atiende a un proceso de certificación de calidad (SICTED, CETS…)</t>
  </si>
  <si>
    <t>Una empresa incorpora una máquina que permite un cambio casi inmediato de línea de envasado</t>
  </si>
  <si>
    <t>Una mayor amplitud de los pasillos de una explotación permite mecanizar la recolección.</t>
  </si>
  <si>
    <t>Una nueva máquina consume menos energía o permite más posibilidades de corte, generando menos retales</t>
  </si>
  <si>
    <t>Una empresa que produce camas para perros incorpora una máquina de impresión textil digitalizada</t>
  </si>
  <si>
    <t>Se plantea una nueva distribución en planta que facilita un sistema “Just in time”</t>
  </si>
  <si>
    <t>Un hotel introduce reformas que permiten una mejor calificación hotelera, de dos a tres estrellas</t>
  </si>
  <si>
    <t>Una residencia de ancianos introduce un sistema de aerotermia que reduce el consumo energético</t>
  </si>
  <si>
    <t>Una cooperativa aceitera reforma los muelles de entrada, mejorando la clasificación de la aceituna</t>
  </si>
  <si>
    <t>Una empresa ganadera controla todos los elementos de la producción gracias a un sistema informática</t>
  </si>
  <si>
    <t>Un Restaurante hace uso de un sistema de comandas vía tablet</t>
  </si>
  <si>
    <t>Una empresa desarrolla un proceso de mejora en colaboración con la Agencia de la Energía</t>
  </si>
  <si>
    <t>Una empresa de servicios a domicilio forma a su personal para atender a enfermedades neurodegenerativas</t>
  </si>
  <si>
    <t>Se establecen sistemas de radio corto que personalizan la relación de productores/as ecológicas con clientela</t>
  </si>
  <si>
    <t>Se insonoriza el puesto de control de una operaria al mando de una maquinaria</t>
  </si>
  <si>
    <t>Una granja avícola emplea la gallinácea como fuente de energía, mejora los espacios de las gallinas y mejora la trazabilidad</t>
  </si>
  <si>
    <t>Implantación de sistemas de trazabilidad en Almazara Olivarera.</t>
  </si>
  <si>
    <t>·    Red de abastecimiento de agua potable</t>
  </si>
  <si>
    <t>·    Recogida de plásticos agrícolas</t>
  </si>
  <si>
    <t>·    Red de alcantarillado público</t>
  </si>
  <si>
    <t>·    Punto limpio</t>
  </si>
  <si>
    <t>·    Red de depuración de aguas residuales</t>
  </si>
  <si>
    <t>·    Recogida no selectiva de residuos</t>
  </si>
  <si>
    <t>·    Recogida selectiva de residuos</t>
  </si>
  <si>
    <t>·    Alumbrado público</t>
  </si>
  <si>
    <t>·    Recogida de envases de productos fitosanitarios</t>
  </si>
  <si>
    <t>·    Acceso a red eléctrica general</t>
  </si>
  <si>
    <t>·    Oficina de la Tesorería de la SS</t>
  </si>
  <si>
    <t>·    Oficina del SAE</t>
  </si>
  <si>
    <t>·    Agencia Tributaria</t>
  </si>
  <si>
    <t>·    Oficina del CADE</t>
  </si>
  <si>
    <t>·    Registro de la Propiedad</t>
  </si>
  <si>
    <t>·    Oficina Comarcal Agraria</t>
  </si>
  <si>
    <t>·    Juzgados</t>
  </si>
  <si>
    <t>·    Vivero de empresas</t>
  </si>
  <si>
    <t>·    Notaría</t>
  </si>
  <si>
    <t>·    Cobertura teléfono móvil</t>
  </si>
  <si>
    <t>·    Acceso a internet satelital</t>
  </si>
  <si>
    <t>·    Acceso a internet fibra óptica</t>
  </si>
  <si>
    <t>·    Oficina de correos</t>
  </si>
  <si>
    <t>·    Centro abierto de acceso a internet (Guadalinfo o similar)</t>
  </si>
  <si>
    <t>·    Señal de televisión-radio</t>
  </si>
  <si>
    <t>·    Acceso a internet banda ancha convencional</t>
  </si>
  <si>
    <t>·    Cuartel Guardia civil</t>
  </si>
  <si>
    <t>·    Policía Local</t>
  </si>
  <si>
    <t>·    Comisaría Policía Nacional</t>
  </si>
  <si>
    <t>·    Centro de Defensa Forestal</t>
  </si>
  <si>
    <t>·    Bomberos</t>
  </si>
  <si>
    <t>·    Hospital</t>
  </si>
  <si>
    <t>·    Consulta de Ginecología</t>
  </si>
  <si>
    <t>·    Centro de Salud</t>
  </si>
  <si>
    <t>·    Servicio de Ambulancia Permanente</t>
  </si>
  <si>
    <t>·    Consultorio Médico</t>
  </si>
  <si>
    <t>·    Farmacia</t>
  </si>
  <si>
    <t>·    Consultorio Médico Auxiliar</t>
  </si>
  <si>
    <t xml:space="preserve">·    Botiquín de Farmacia </t>
  </si>
  <si>
    <t>·    Consulta de Pediatría</t>
  </si>
  <si>
    <t>·    Fisioterapia</t>
  </si>
  <si>
    <t>·    Dentista</t>
  </si>
  <si>
    <t>·    Psicología</t>
  </si>
  <si>
    <t xml:space="preserve">·    Veterinaria </t>
  </si>
  <si>
    <t>·    Óptica</t>
  </si>
  <si>
    <t>·    Trabajador o trabajadora social</t>
  </si>
  <si>
    <t>·    Crematorio</t>
  </si>
  <si>
    <t>·    Guardería</t>
  </si>
  <si>
    <t>·    Centro de Información Juvenil</t>
  </si>
  <si>
    <t>·    Tanatorio</t>
  </si>
  <si>
    <t xml:space="preserve">·    Centro de Información a la Mujer </t>
  </si>
  <si>
    <t>·    Ciclo educativo de 0 a 3 años</t>
  </si>
  <si>
    <t>·    Equipo de Orientación Educativa</t>
  </si>
  <si>
    <t>·    Aula matinal</t>
  </si>
  <si>
    <t>·    Centro de Formación Profesional</t>
  </si>
  <si>
    <t>·    Comedor escolar</t>
  </si>
  <si>
    <t>·    Biblioteca</t>
  </si>
  <si>
    <t>·    Centro de Educación Primaria</t>
  </si>
  <si>
    <t>·    Casa de la Cultura</t>
  </si>
  <si>
    <t>·    Centro de Educación Secundaria Obligatoria</t>
  </si>
  <si>
    <t>·    Espacios de actividades escénicas</t>
  </si>
  <si>
    <t>·    Centro de Bachillerato</t>
  </si>
  <si>
    <t>·    Programación actividades culturales</t>
  </si>
  <si>
    <t>·    Pista deportiva</t>
  </si>
  <si>
    <t>·    Parque infantil</t>
  </si>
  <si>
    <t>·    Pabellón deportivo cubierto</t>
  </si>
  <si>
    <t>·    Programa de actividades deportivas</t>
  </si>
  <si>
    <t>·    Piscina de verano</t>
  </si>
  <si>
    <t>·    Rutas de paseo o de senderismo señalizadas</t>
  </si>
  <si>
    <t>·    Piscina cubierta</t>
  </si>
  <si>
    <t xml:space="preserve">·    Carril bici </t>
  </si>
  <si>
    <t>·    Ludoteca-Escuela Verano o similar</t>
  </si>
  <si>
    <t>·    Centro de día</t>
  </si>
  <si>
    <t>·    Centro Tercera Edad</t>
  </si>
  <si>
    <t>·    Residencia de ancianos</t>
  </si>
  <si>
    <t>·    Parque geriátrico</t>
  </si>
  <si>
    <t>·    Ayuda a domicilio</t>
  </si>
  <si>
    <t>·    Estación de tren</t>
  </si>
  <si>
    <t>·    Servicio de taxi</t>
  </si>
  <si>
    <t>·    Servicio de autobús</t>
  </si>
  <si>
    <t>·    Banco o Caja Rural</t>
  </si>
  <si>
    <t>·    Tienda de muebles</t>
  </si>
  <si>
    <t>·    Gasolinera</t>
  </si>
  <si>
    <t>·    Tienda de electrodoméstico</t>
  </si>
  <si>
    <t>·    Gestoría</t>
  </si>
  <si>
    <t>·    Panadería</t>
  </si>
  <si>
    <t>·    Albañilería en general</t>
  </si>
  <si>
    <t>·    Pastelería</t>
  </si>
  <si>
    <t>·    Electricidad</t>
  </si>
  <si>
    <t>·    Carnicería</t>
  </si>
  <si>
    <t>·    Fontanería</t>
  </si>
  <si>
    <t>·    Taller mecánico</t>
  </si>
  <si>
    <t>·    Carpintería</t>
  </si>
  <si>
    <t>·    Tienda de comestibles</t>
  </si>
  <si>
    <t>·    Peluquería</t>
  </si>
  <si>
    <t>·    Supermercado</t>
  </si>
  <si>
    <t>·    Gimnasio</t>
  </si>
  <si>
    <t>·    Hipermercado</t>
  </si>
  <si>
    <t>·    Ferretería</t>
  </si>
  <si>
    <t>·    Centro Comercial</t>
  </si>
  <si>
    <t>·    Estanco</t>
  </si>
  <si>
    <t>·    Bar</t>
  </si>
  <si>
    <t>·    Zapatería</t>
  </si>
  <si>
    <t>·    Restaurante</t>
  </si>
  <si>
    <t>·    Tienda de confección</t>
  </si>
  <si>
    <t>·    Hotel / Hostal</t>
  </si>
  <si>
    <t>·    Papelería-Librería</t>
  </si>
  <si>
    <t>Linea 3</t>
  </si>
  <si>
    <t>Proyecto localizado en la zona geográfica 1</t>
  </si>
  <si>
    <t>Proyecto localizado en la zona geográfica 2</t>
  </si>
  <si>
    <t>Proyecto localizado en la zona geográfica 3</t>
  </si>
  <si>
    <t>Proyecto ubicado en zonas de Entidades Locales Autónomas, así como aldeas y otros diseminados rurales pertenecientes a las zonas geográficas 1 y 2. Proyecto que por sus características se desarrolle en varios municipios.</t>
  </si>
  <si>
    <t>La persona promotora ha recibido ayudas públicas no superiores a 12.000€ en los últimos 5 años</t>
  </si>
  <si>
    <t>La persona promotora si ha recibido ayudas públicas superiores a 12.000€ en los últimos 5 años</t>
  </si>
  <si>
    <t>Creación de empleo</t>
  </si>
  <si>
    <t>Creación de empleo joven</t>
  </si>
  <si>
    <t>Creación de empleo femenino</t>
  </si>
  <si>
    <t>Creación de empleo personas con discapacidad</t>
  </si>
  <si>
    <t>Creación de empleo personas en riesgo de exclusión</t>
  </si>
  <si>
    <t>Mantenimiento de empleo joven</t>
  </si>
  <si>
    <t>Mantenimiento de empleo femenino</t>
  </si>
  <si>
    <t>Mantenimiento de empleo personas con discapacidad</t>
  </si>
  <si>
    <t>Mantenimiento de empleo personas en riesgo de exclusión</t>
  </si>
  <si>
    <t xml:space="preserve">Consolidación de empleo </t>
  </si>
  <si>
    <t>Residencia efectiva en la comarca de la persona empleada</t>
  </si>
  <si>
    <t>Instalación de sistemas y elementos que fomenten el uso de las energías renovables, o procesos de reciclaje y/o reutilización de residuos</t>
  </si>
  <si>
    <t>Formación medioambiental recibida o impartida por la persona solicitante</t>
  </si>
  <si>
    <t>CONTRIBUCIÓN A LA IGUALDAD ENTRE MUJERES Y HOMBRES</t>
  </si>
  <si>
    <t>Formación, información, difusión o sensibilización para la igualdad de género.</t>
  </si>
  <si>
    <t>CONTRIBUCIÓN A UNA MAYOR PARTICIPACIÓN DE LA JUVENTUD</t>
  </si>
  <si>
    <t>Creación de una nueva empresa</t>
  </si>
  <si>
    <t>Ampliación de una empresa creando un nuevo centro de trabajo</t>
  </si>
  <si>
    <t>Ampliación o Modernización de una empresa en base a sus instalaciones actuales</t>
  </si>
  <si>
    <t>Traslado completo de la empresa a una nueva ubicación.</t>
  </si>
  <si>
    <t>CS7.4</t>
  </si>
  <si>
    <t>CS7.5</t>
  </si>
  <si>
    <t>El proyecto es promovido por personas residentes en algún momento en el territorio</t>
  </si>
  <si>
    <t>Ratio inversión subvencionada dividida entre la creación de empleo es menor de 30.000€</t>
  </si>
  <si>
    <t>Participación en acciones y/o actividades de cooperación horizontal-vertical</t>
  </si>
  <si>
    <t xml:space="preserve">Creación de nuevos servicios de proximidad </t>
  </si>
  <si>
    <t>Mejora de los servicios de proximidad actualmente existentes</t>
  </si>
  <si>
    <t>Mejora de servicios de proximidad en los siguientes sectores y/o colectivos: medioambiente, genero, juventud, infancia, personas mayores, p. con discapacidad, p. en riesgo de exclusión social</t>
  </si>
  <si>
    <t>Ratio de liquidez está entre 1 y 1,5</t>
  </si>
  <si>
    <t>Ratio de endeudamiento está entre 0 y 0,5</t>
  </si>
  <si>
    <t>Ratio de rentabilidad económica es mayor al 15 %</t>
  </si>
  <si>
    <t>Ratio de rentabilidad económica esta entre 5% y 15 %</t>
  </si>
  <si>
    <t>Ratio de rentabilidad económica es menor al 5%</t>
  </si>
  <si>
    <t>Ratio de independencia financiera es mayor o igual al 100%</t>
  </si>
  <si>
    <t>CS12.1.1</t>
  </si>
  <si>
    <t>CS12.1.2</t>
  </si>
  <si>
    <t>CS12.1.3</t>
  </si>
  <si>
    <t>CS12.2.1</t>
  </si>
  <si>
    <t>CS12.2.2</t>
  </si>
  <si>
    <t>CS12.2.3</t>
  </si>
  <si>
    <t>CS12.3.1</t>
  </si>
  <si>
    <t>CS12.3.2</t>
  </si>
  <si>
    <t>CS12.3.3</t>
  </si>
  <si>
    <t>CS12.4.1</t>
  </si>
  <si>
    <t>CS12.4.2</t>
  </si>
  <si>
    <t>CS12.4.3</t>
  </si>
  <si>
    <t>CS12.5.1</t>
  </si>
  <si>
    <t>CS12.5.2</t>
  </si>
  <si>
    <t>Ratio de eficacia</t>
  </si>
  <si>
    <t>Ratio de liquidez</t>
  </si>
  <si>
    <t>Ratio de endeudamiento</t>
  </si>
  <si>
    <t>Ratio de Rentabilidad económica</t>
  </si>
  <si>
    <t>Ratio de independencia financiera</t>
  </si>
  <si>
    <t>Incorporación de al menos 7 elementos innovadores</t>
  </si>
  <si>
    <t>Incorporación de al menos 6 elementos innovadores</t>
  </si>
  <si>
    <t>Incorporación de al menos 5 elementos innovadores</t>
  </si>
  <si>
    <t>Incorporación de al menos 4 elementos innovadores</t>
  </si>
  <si>
    <t>Incorporación de al menos 3 elementos innovadores</t>
  </si>
  <si>
    <t>Incorporación de al menos 2 elementos innovadores</t>
  </si>
  <si>
    <t>Incorporación de al menos 1 elemento innovador</t>
  </si>
  <si>
    <t>Proyectos que se encuadren en alguna de las Baterías de Iniciativas Innovadoras del epígrafe 5.3.2 de la EDL</t>
  </si>
  <si>
    <t>CS13.6</t>
  </si>
  <si>
    <t>CS13.7</t>
  </si>
  <si>
    <t>CS13.8</t>
  </si>
  <si>
    <t>R.I.= (Recursos Propios/Pasivo Exigible) x 100</t>
  </si>
  <si>
    <t>R.EN. =  Deudas a Largo Plazo / Capitales Propios</t>
  </si>
  <si>
    <t>R.L.= Activo Circulante / Pasivo Circulante</t>
  </si>
  <si>
    <t>R.L.= Activo Circulante / Pasivo Circulante</t>
  </si>
  <si>
    <t>R.EN. =  Deudas a Largo Plazo / Capitales Propios</t>
  </si>
  <si>
    <t>R.R.=(Resultado antes de intereses e impuestos /Activo Total) x 100</t>
  </si>
  <si>
    <t>R.EF. = Ingresos / Gastos</t>
  </si>
  <si>
    <t>Repres:</t>
  </si>
  <si>
    <t>Justificación de al menos 5 necesidades prioritarias</t>
  </si>
  <si>
    <t>Justificación de al menos 4 necesidades prioritarias</t>
  </si>
  <si>
    <t>Justificación de al menos 3 necesidades prioritarias</t>
  </si>
  <si>
    <t>Justificación de al menos 2 necesidades prioritarias</t>
  </si>
  <si>
    <t>Justificación de al menos 1 necesidad prioritaria</t>
  </si>
  <si>
    <t>CS14.1</t>
  </si>
  <si>
    <t>CS14.2</t>
  </si>
  <si>
    <t>CS14.3</t>
  </si>
  <si>
    <t>CS14.4</t>
  </si>
  <si>
    <t>CS14.5</t>
  </si>
  <si>
    <t>CS14</t>
  </si>
  <si>
    <t>Se valora que el proyecto se localiza, según la zonificación definida en la EDL, en la zona geográfica 1, que incluye los términos municipales de Alcalá la Real y Martos.</t>
  </si>
  <si>
    <t>Se valora que el proyecto se localiza, según la zonificación definida en la EDL, en la zona geográfica 2, que incluye los términos municipales de Alcaudete y Torredelcampo.</t>
  </si>
  <si>
    <t>Proyectos ubicados en zonas de Entidades Locales Autónomas, así como aldeas y otros diseminados rurales pertenecientes a las zonas geográficas 1 y 2 de la Zonificación del epígrafe 2.3 de la EDL. Proyectos de ámbito supramunicipal. Asimismo las actuaciones que por sus características abarquen más de una localidad y por tanto tengan un impacto que se extienda más allá del ámbito local, serán consideradas asimismo en la Zona Geográfica- 3 a los efectos de puntuación en los Criterios de Selección de la EDL.</t>
  </si>
  <si>
    <t>Se valora que la entidad promotora haya recibido incentivos públicos a la inversión empresarial, tanto en términos cuantitativos como cualitativos. Periodo elegible para puntuar: Hasta la Solicitud de Ayuda.</t>
  </si>
  <si>
    <t>Se valora que la persona solicitante SI ha recibido ayudas públicas pero sumadas NO superan los 12.000€ de subvención, para desarrollar otros proyectos empresariales en el mismo o distinto sector de actividad que el actual, en los últimos 5 años desde la solicitud de esta ayuda.</t>
  </si>
  <si>
    <t>Se valora que la persona solicitante SI ha recibido ayudas públicas que sumadas superen los 12.000€ de subvención, para desarrollar otros proyectos empresariales en el mismo o distinto sector de actividad que el actual, en los últimos 5 años desde la solicitud de esta ayuda.</t>
  </si>
  <si>
    <t>Se promueve el cumplimiento de los Objetivos Transversales indicados en el PDR de Andalucía y en la EDL Sierra Sur de Jaén sobre "ECOLOGIA": 1º/ Fomentar la conservación del Medio ambiente 2º/Potenciar la lucha contra el Cambio Climático. Periodo elegible para puntuar: Se detalla en cada Subcriterio</t>
  </si>
  <si>
    <t>Se valora la incorporación de recursos y elementos de este tipo en la actuación presentada. Periodo elegible para puntuar: Desde la Solicitud de Ayuda hasta la Solicitud de Pago. En el desarrollo del proyecto.</t>
  </si>
  <si>
    <t>Se valora la existencia previa de recursos y elementos de este tipo en la empresa solicitante. Periodo elegible para puntuar: Debe existir antes de la Solicitud de Ayuda. En las instalaciones de la entidad promotora.</t>
  </si>
  <si>
    <t>Se valora la instalación de sistemas y elementos de este tipo en la actuación presentada. Periodo elegible para puntuar: Desde la Solicitud de Ayuda hasta la Solicitud de Pago. En el desarrollo del proyecto.</t>
  </si>
  <si>
    <t>Se valora la existencia de sistemas y elementos de este tipo en la empresa antes de la solicitud de ayuda. Periodo elegible para puntuar: Debe existir antes de la Solicitud de Ayuda. En las instalaciones de la entidad promotora.</t>
  </si>
  <si>
    <t>Se valora la cualificación medioambiental recibida y/o la formación impartida por la p. solicitante. Periodo elegible para puntuar: Computa hasta el momento de la solicitud de pago.</t>
  </si>
  <si>
    <t>Se valora que el proyecto afecte positivamente a la conservación del suelo u otros elementos naturales, ya sea con actuaciones de protección, conservación o implantación de medidas que minimicen los riesgos sobre los recursos naturales, ya sea apoyando el desarrollo de políticas y estrategias vinculadas a los aspectos anteriores. Periodo elegible para puntuar: Computa hasta el momento de la solicitud de pago.</t>
  </si>
  <si>
    <t>Se promueve el cumplimiento del Objetivo Transversal indicado en el PDR de Andalucía y en la EDL Sierra Sur de Jaén: “Contribuir a la Igualdad de oportunidades entre mujeres y hombres”. Periodo elegible para puntuar: Se detalla en cada Subcriterio.</t>
  </si>
  <si>
    <t>Se promueve el cumplimiento del Objetivo Transversal indicado en el PDR de Andalucía y en la EDL Sierra Sur de Jaén: “Mejorar la participación de la población joven” Periodo elegible para puntuar: Se detalla en cada Subcriterio.</t>
  </si>
  <si>
    <t>Se valora según sean proyectos de nueva creación, modernización, ampliación o traslado de empresas. Periodo elegible para puntuar: Se detalla en cada Subcriterio.</t>
  </si>
  <si>
    <t>Se valora la creación de una nueva empresa. Periodo elegible para puntuar: Desde la Solicitud de Ayuda hasta la Solicitud de Pago. En el desarrollo del Proyecto.</t>
  </si>
  <si>
    <t>Se valora la ampliación de una empresa creando nuevo centro de trabajo. Periodo elegible para puntuar: Desde la Solicitud de Ayuda hasta la Solicitud de Pago. En el desarrollo del Proyecto.</t>
  </si>
  <si>
    <t>Se valora la ampliación de un centro de trabajo existente. Periodo elegible para puntuar: Desde la Solicitud de Ayuda hasta la Solicitud de Pago. En el desarrollo del Proyecto.</t>
  </si>
  <si>
    <t>Se valora el traslado de una empresa para conseguir un ahorro de costes. Periodo elegible para puntuar: Desde la Solicitud de Ayuda hasta la Solicitud de Pago. En el desarrollo del Proyecto.</t>
  </si>
  <si>
    <t>Se valoran las inversiones en activos no duraderos, que mejoran la calidad o que acreditan la calidad alcanzada por la empresa. Periodo elegible para puntuar: Hasta la Solicitud de Pago. Se han realizado ya antes de la solicitud de ayuda o se van a llevar a cabo antes de la solicitud de pago.</t>
  </si>
  <si>
    <t>Se valora que las personas promotoras residan en la Comarca. Periodo elegible para puntuar: Desde cumplirse antes de la Solicitud de Ayuda.</t>
  </si>
  <si>
    <t>Se valora la menor relación entre la inversión subvencionada y el empleo creado. Los empleos a crear son en términos UTA-Unidad de Trabajo Anual (considera un empleo creado si este es a tiempo completo durante todo el año) y la Inver-sión subvencionada valorada finalmente en el proyecto. Periodo elegible para puntuar: Desde la Solicitud de Ayuda hasta la Solicitud de Pago.</t>
  </si>
  <si>
    <t>Se valora la participación en asociaciones, estructuras o acciones de cooperación, como elemento que mejora la gobernanza local. Periodo elegible para puntuar: Se cumple ya antes de la solicitud de ayuda o se va cumplir antes de la solicitud de pago.</t>
  </si>
  <si>
    <t>Se valora la pertenencia de la persona promotora en Asociaciones territoriales, Asociaciones Empresariales, Sindicales, DOP, IGP, Agrupaciones de Defensa Sanitaria, Comunidades de Regantes, Centrales de compra, Cooperativas…</t>
  </si>
  <si>
    <t>Se valora que la persona promotora participe en Acciones para fomento del asociacionismo, Ferias sectoriales, Actividades demostrativas, Actividades socio-recreativas, etc.</t>
  </si>
  <si>
    <t>Se valora la oferta de servicios de proximidad de nueva creación o bien la mejora de los mismos. Periodo elegible para puntuar: Desde la Solicitud de Ayuda hasta la Solicitud de Pago. (Ver ANEXO-I)</t>
  </si>
  <si>
    <t>Se valora la creación de nuevos servicios de proximidad para la población.</t>
  </si>
  <si>
    <t>Se valora la mejora de cualquier servicio de proximidad existente.</t>
  </si>
  <si>
    <t>Se valora la mejora de los servicios de proximidad existentes relacionados con los colectivos indicados. (Se acreditará la situación con Certificado de persona con discapacidad emitido por la Consejería de Bienestar Social; Certificado de persona en riesgo de exclusión social emitido por los Servicios Sociales Municipales)</t>
  </si>
  <si>
    <t>ANEXO III: TABLA DE NECESIDADES PRIORIZADAS</t>
  </si>
  <si>
    <t>Justificación Empleos Mantenidos</t>
  </si>
  <si>
    <t>Justificación Otros supuestos empleo</t>
  </si>
  <si>
    <t>CS2.4</t>
  </si>
  <si>
    <t xml:space="preserve">Justificación del subcriterio </t>
  </si>
  <si>
    <t>Justificación del subcriterio 
(Datos introducidos en la hoja de Balance y Resultados)</t>
  </si>
  <si>
    <t xml:space="preserve">Previsión de ingresos derivados del proyecto a subvencionar </t>
  </si>
  <si>
    <t>Subvencion de Capital (1)</t>
  </si>
  <si>
    <t>Subvencion de Capital (2)</t>
  </si>
  <si>
    <t>Subvencion de Capital (3)</t>
  </si>
  <si>
    <t>FUENTES DE FINANCIACION</t>
  </si>
  <si>
    <t>PREVISION DE INGRESOS</t>
  </si>
  <si>
    <t>Ingresos</t>
  </si>
  <si>
    <t>TC1/ TC2 S. Social y justificantes de pago; Contratos de Trabajo Registrados en SEPE; Informe Vida Laboral de la entidad promotora (Código Cuenta Cotización).</t>
  </si>
  <si>
    <t>Memoria; Acta de no inicio; Doc. Gráfica de la ubicación.</t>
  </si>
  <si>
    <t>Acta Final de Ejecución; Doc. gráfica de la inversión; Facturas,  justificantes de pago y apuntes contables.</t>
  </si>
  <si>
    <t>Acta Final de Ejecución; Doc. gráfica de la inversión; Alta Censal; Licencia de Actividad; Facturas,  justificantes de pago y apuntes contables.</t>
  </si>
  <si>
    <t>Informe Vida Laboral de la entidad promotora (Código Cuenta Cotización).</t>
  </si>
  <si>
    <t>Documentación acreditativa de pertenencia a la Organización o Entidad a la que está asociada.</t>
  </si>
  <si>
    <t>Se valora el número de Elementos Innovadores que incluye el proyecto conforme la EDL Sierra Sur de Jaén. Se distinguirá el elemento innovador a cumplir dependiendo si es empresa de nueva creación o empresa ya existente. Se pueden consultar en el Anexo I de Convocatoria de Ayudas publicada. Periodo elegible para puntuar: Desde la Solicitud de Ayuda hasta la Solicitud de Pago. (Ver ANEXO-II)</t>
  </si>
  <si>
    <t>Si se argumenta el encuadre en esta lista 2 puntos adicionales en este criterio. (Ver ANEXO-II-2)</t>
  </si>
  <si>
    <t>Tasa Interes</t>
  </si>
  <si>
    <t>Periodo Amortizacion</t>
  </si>
  <si>
    <t>Descripción</t>
  </si>
  <si>
    <t>No fomenta la participacion juvenil</t>
  </si>
  <si>
    <t>Justificación Empleos Creados</t>
  </si>
  <si>
    <t>Zona:</t>
  </si>
  <si>
    <t>IVA Subvencionable:</t>
  </si>
  <si>
    <t>TOTAL FINANCIACION</t>
  </si>
  <si>
    <t xml:space="preserve">Previsión de gastos que origina el desarrollo de la inversion </t>
  </si>
  <si>
    <t>CONCEPTO</t>
  </si>
  <si>
    <t>PREVISION DE GASTOS</t>
  </si>
  <si>
    <t>Gastos</t>
  </si>
  <si>
    <t>Subvención solicitada (indicar como ingreso en el último año,  ejercicio N+2)</t>
  </si>
  <si>
    <t>• Declaracion Responsable del empleo a crear</t>
  </si>
  <si>
    <t>• Contratos de trabajo existentes.</t>
  </si>
  <si>
    <t>• Contratos de trabajo existentes</t>
  </si>
  <si>
    <t>• Certificado de empadronamiento emitido por el ayuntamiento donde resida.</t>
  </si>
  <si>
    <t>• Certificado de la empresa suministradora justificativo del ahorro de agua o Certificado de Institución de Certificación Oficial o Informe de Consultor Independiente que acredite.</t>
  </si>
  <si>
    <t>• Certificado de la empresa suministradora justificativo del ahorro de energía o Certificado de Institución de Certificación Oficial o Informe de Consultor Independiente que acredite.</t>
  </si>
  <si>
    <t>• Titulo o Certificado y Programa de Contenidos emitido por la Entidad organizadora.</t>
  </si>
  <si>
    <t>• DNI de las personas que componen el órgano de decisión</t>
  </si>
  <si>
    <t>Contabilidad Oficial de los 3 últimos ejercicios cerrados (Perdidas y Ganancias; Balance de Situación), para empresas personas físicas; Declaración de la Renta de los 3 últimos ejercicios cerrados, para empresas p.jurídicas; Informe Vida Laboral de la entidad promotora (Código Cuenta Cotización).</t>
  </si>
  <si>
    <t>• Documentación acreditativa de pertenencia a la Entidad a la que está asociada</t>
  </si>
  <si>
    <t>• Documentación acreditativa de pertenencia a la Entidad a la que está asociada con indicación de la ubicación de su domicilio social.</t>
  </si>
  <si>
    <t>• Documentación acreditativa de pertenencia a la Entidad a la que está asociada; Estatutos o Escrituras de Constitución o Certificado de la Entidad a la que está asociada donde se pueda comprobar los Objetivos transversales citados.</t>
  </si>
  <si>
    <t>• Documentación justificativa de la participación en las acciones referida</t>
  </si>
  <si>
    <t>Contabilidad Oficial de los 3 últimos ejercicios cerrados (Perdidas y Ganancias; Balance de Situación), para empresas personas físicas; Declaración de la Renta de los 3 últimos ejercicios cerrados, para empresas p.jurídicas.</t>
  </si>
  <si>
    <t>Tabla de elementos innovadores descrita en el apartado 5.3 del epígrafe 5 de la EDL.</t>
  </si>
  <si>
    <t>• Informe justificativo de los elementos innovadores valorados.</t>
  </si>
  <si>
    <t>Tabla de Necesidades Prioritarias descrita en el apartado 5.1 del epígrafe 5 de la EDL.</t>
  </si>
  <si>
    <t>• Informe justificativo de las necesidades prioritarias valoradas.</t>
  </si>
  <si>
    <t>Puntos Autobaremo</t>
  </si>
  <si>
    <t>Documentación Justificativa a aportar en Tramite de Audiencia</t>
  </si>
  <si>
    <t>Documentación a aportar en Solicitud Pago</t>
  </si>
  <si>
    <t>Se valora que un puesto de trabajo pase de temporal (duración determinada) a indefinido. 0,5 puntos adicionales por cada puesto de trabajo convertido a indefinido.</t>
  </si>
  <si>
    <t>Se valora que la persona empleada tenga su residencia habitual en la Comarca.0,25 puntos adicionales por cada puesto de trabajo creado, mantenido o consolidado, si la persona empleada es residente.</t>
  </si>
  <si>
    <t>Mantenimiento de empleo</t>
  </si>
  <si>
    <t>Se valora el mantenimiento de cada puesto de trabajo fijo. 0,5 puntos adicionales por cada puesto de trabajo mantenido siempre que exista creación de empleo.</t>
  </si>
  <si>
    <t>Se valora el mantenimiento de cada puesto de trabajo fijo si la persona empleada es joven (menor 35 años). 0,25 puntos adicionales por cada puesto de trabajo mantenido a jóvenes.</t>
  </si>
  <si>
    <t>Se valora el mantenimiento de cada puesto de trabajo fijo si la persona empleada es mujer. 0,25 puntos adicionales por cada puesto de trabajo mantenido a mujeres.</t>
  </si>
  <si>
    <t>Se valora el mantenimiento de cada puesto de trabajo fijo si la persona empleada tiene reconocida alguna discapacidad. 0,25 puntos adicionales por cada puesto de trabajo mantenido a personas con discapacidad.</t>
  </si>
  <si>
    <t>Se valora el mantenimiento de cada puesto de trabajo fijo si la persona empleada está en situación de riesgo de exclusión. 0,25 puntos adicionales por cada puesto de trabajo mantenido si la persona empleada está en esta situación.</t>
  </si>
  <si>
    <t>Se valora la creación de cada empleo, ya sea por cuenta ajena o por cuenta propia (autoempleo). 2 puntos por cada puesto de empleo creado.</t>
  </si>
  <si>
    <t>Se valora creación de empleo si la persona empleada es joven (menor de 35 años). 0,5 puntos adicionales por cada puesto de empleo creado a jóvenes.</t>
  </si>
  <si>
    <t>Se valora creación de empleo si la persona empleada es mujer. 0,5 puntos adicionales por cada puesto de empleo creado a mujeres.</t>
  </si>
  <si>
    <t>Se valora creación de empleo si la persona empleada tiene reconocida alguna discapacidad.0,5 puntos adicionales por cada puesto de empleo creado a personas con discapacidad.</t>
  </si>
  <si>
    <t>Se valora creación de empleo si la persona empleada está en situación de riesgo de exclusión. 0,5 puntos adicionales por cada puesto de empleo creado a personas en esta situación.</t>
  </si>
  <si>
    <t>Se valora la creación, mantenimiento y mejora de empleo, considerado en términos cuantitativos y cualitativos. Los empleos a considerar son en términos UTA-Unidad de Trabajo Anual (considera un empleo creado si este es a tiempo completo durante todo el año). Periodo elegible para puntuar: Desde la Solicitud de Ayuda hasta la Solicitud de Pago.</t>
  </si>
  <si>
    <t>Acumulable</t>
  </si>
  <si>
    <t xml:space="preserve">Para sumar puntos en los Subcriterios de este apartado C) ‘Otros Supuestos de Empleo’ es obligatorio que se haya puntuado previamente en los Subcriterios del apartado A) ‘Creación de Empleo’. </t>
  </si>
  <si>
    <t xml:space="preserve">Para sumar puntos en los Subcriterios de este apartado B) ‘Mantenimiento de Empleo’ es obligatorio que se haya puntuado previamente en los Subcriterios del apartado A) ‘Creación de Empleo’. </t>
  </si>
  <si>
    <t>Se valora que el proyecto se localiza, según la zonificación definida en la EDL, en la zona geográfica 3, que incluye los términos municipales de Castillo de Locubín, Frailes, Fuensanta, Jamilena, Los Villares, y Valdepeñas de Jaén.</t>
  </si>
  <si>
    <t>La persona promotora NO ha recibido ayudas públicas en los últimos 5 años</t>
  </si>
  <si>
    <t>Se valora que la persona solicitante NO ha recibido ayudas públicas, para desarrollar otros proyectos empresariales en el mismo o distinto sector de actividad que el actual, en los últimos 5 años desde la solicitud de esta ayuda.</t>
  </si>
  <si>
    <t>CONTRIBUCIÓN A LA PROTECCIÓN DEL MEDIO AMBIENTE Y A LA LUCHA CONTRA EL CAMBIO CLIMÁTICO</t>
  </si>
  <si>
    <t>Incorporación de recursos y/o elementos que promuevan el ahorro hídrico, reduzcan el consumo energético, disminuyan las emisiones de gases de efecto invernadero, o mejoren la contaminación lumínica o acústica.</t>
  </si>
  <si>
    <t>Existencia de recursos y/o elementos que promuevan el ahorro hídrico, reduzcan el consumo energético, disminuyan las emisiones de gases de efecto invernadero, o mejoren la contaminación lumínica o acústica.</t>
  </si>
  <si>
    <t>Existencia de sistemas y elementos que fomenten el uso de las energías renovables, o procesos de reciclaje y/o reutilización de residuos</t>
  </si>
  <si>
    <t>Fomento de otras acciones de sostenibilidad ambiental y/o de mitigación del cambio climático no incluidas entre las anteriores, a indicar y justificar expresamente</t>
  </si>
  <si>
    <t>Proyecto promovido por solicitantes cuya propiedad pertenece a mujeres de forma mayoritaria.</t>
  </si>
  <si>
    <t>Se valora que la propiedad de la empresa pertenece a mujeres mayoritariamente. Período elegible para puntuar: Debe cumplirse antes de la Solicitud de Ayuda.</t>
  </si>
  <si>
    <t>Proyecto promovido por solicitantes cuya propiedad pertenece a mujeres de forma no mayoritaria.</t>
  </si>
  <si>
    <t>Se valora que la propiedad de la empresa pertenece a mujeres, en alguna medida. Período elegible para puntuar: Debe cumplirse antes de la Solicitud de Ayuda.</t>
  </si>
  <si>
    <t>Proyecto promovido por solicitantes cuyo órgano de decisión está integrado por mujeres de forma mayoritaria.</t>
  </si>
  <si>
    <t>Se valora que en la composición de los órganos decisorios de la empresa participan mujeres, mayoritariamente. (Consejos de Administración en Sociedades; Consejos Rectores en Cooperativas, Administradoras en Sociedades sin Personalidad Jurídica) Periodo elegible para puntuar: Debe cumplirse antes de la Solicitud de Ayuda.</t>
  </si>
  <si>
    <t xml:space="preserve">Acumulable </t>
  </si>
  <si>
    <t>Proyecto promovido por solicitantes cuyo órgano de decisión está integrado por mujeres de forma no mayoritaria.</t>
  </si>
  <si>
    <t>Se valora que en la composición de los órganos decisorios de la empresa participan mujeres, en alguna medida, sin llegar a ser mayoría. (Consejos de Administración en Sociedades; Consejos Rectores en Cooperativas, Administradoras en Sociedades sin Personalidad Jurídica) Periodo elegible para puntuar: Debe cumplirse antes de la Solicitud de Ayuda.</t>
  </si>
  <si>
    <t>Se valora que la persona solicitante haya promovido/recibido o vaya a promover/recibir acciones de igualdad a través de: Cursos y Talleres Formativos; Eventos y Actos Informativos; Actividades de Promoción, Estudios y Publicaciones. Periodo elegible para puntuar: Existen ya antes de la solicitud de ayuda o se van a desarrollar antes de la solicitud de pago.</t>
  </si>
  <si>
    <t>Acciones de igualdad de género especificas:  planes de igualdad, conciliación de la vida laboral y convenios en prácticas.</t>
  </si>
  <si>
    <t>Se valora que la persona solicitante haya promovido o vaya a promover acciones de igualdad a través de: Implantación de Planes de Igualdad; Fomento de la Conciliación de la jornada laboral con la vida familiar; Convenios de Prácticas para mujeres estudiantes. Periodo elegible para puntuar: Existen ya antes de la solicitud de ayuda o se van a desarrollar antes de la solicitud de pago.</t>
  </si>
  <si>
    <t>Otras acciones que mejoren la situación de la mujer a indicar expresamente, y que no hayan sido ya valoradas en alguno de los criterios que integran esta baremación.</t>
  </si>
  <si>
    <t>Se valora que el proyecto afecte positivamente a la igualdad de género en algún aspecto que no esté comprendido en los anteriores Subcriterios. Periodo elegible para puntuar: Computa hasta el momento de la solicitud de pago.</t>
  </si>
  <si>
    <t>Proyecto promovido por solicitantes cuya propiedad pertenece a jóvenes de forma mayoritaria.</t>
  </si>
  <si>
    <t>Se valora que la propiedad de la empresa pertenece a jóvenes mayoritariamente. Período elegible para puntuar: Debe cumplirse antes de la Solicitud de Ayuda.</t>
  </si>
  <si>
    <t>Proyecto promovido por solicitantes cuya propiedad pertenece a jóvenes de forma no mayoritaria.</t>
  </si>
  <si>
    <t>Se valora que la propiedad de la empresa pertenece a jóvenes, en alguna medida. Período elegible para puntuar: Debe cumplirse antes de la Solicitud de Ayuda.</t>
  </si>
  <si>
    <t>Proyecto promovido por solicitantes cuyo órgano de decisión está integrado por jóvenes de forma mayoritaria.</t>
  </si>
  <si>
    <t>Se valora que en la composición de los órganos decisorios de la empresa participan jóvenes, mayoritariamente. (Consejos de Administración en Sociedades; Consejos Rectores en Cooperativas, Administradores en Sociedades sin Personalidad Jurídica) Periodo elegible para puntuar: Debe cumplirse antes de la Solicitud de Ayuda.</t>
  </si>
  <si>
    <t>Proyecto promovido por solicitantes cuyo órgano de decisión está integrado por jóvenes de forma no mayoritaria.</t>
  </si>
  <si>
    <t>Se valora que en la composición de los órganos decisorios de la empresa participan jóvenes, en alguna medida, sin llegar a ser mayoría. (Consejos de Administración en Sociedades; Consejos Rectores en Cooperativas, Administradores en Sociedades sin Personalidad Jurídica) Periodo elegible para puntuar: Debe cumplirse antes de la Solicitud de Ayuda.</t>
  </si>
  <si>
    <t>Formación, información, difusión o sensibilización para una mayor participación de la juventud.</t>
  </si>
  <si>
    <t>Se valora que la persona solicitante haya promovido/recibido o vaya a promover/recibir acciones para mejorar la participación juvenil a través de: Cursos y Talleres Formativos; Eventos y Actos Informativos; Actividades de Promoción, Estudios y Publicaciones. Periodo elegible para puntuar: Existen ya antes de la solicitud de ayuda o se van a desarrollar antes de la solicitud de pago.</t>
  </si>
  <si>
    <t>Formalización de convenios en prácticas para la población joven.</t>
  </si>
  <si>
    <t>Se valora que la persona solicitante haya promovido o vaya a promover Convenios de Prácticas para jóvenes estudiantes que ayuden a su integración profesional. Periodo elegible para puntuar: Existen ya antes de la solicitud de ayuda o se van a desarrollar antes de la solicitud de pago.</t>
  </si>
  <si>
    <t>Otras acciones que mejoren la situación de los jóvenes a indicar expresamente, y que no hayan sido ya valoradas en alguno de los criterios que integran esta baremación.</t>
  </si>
  <si>
    <t>Se valora que la persona solicitante haya promovido/recibido o vaya a promover/recibir alguna de las acciones de este tipo. Periodo elegible para puntuar: Existen ya antes de la solicitud de ayuda o se van a desarrollar antes de la solicitud de pago.</t>
  </si>
  <si>
    <t>Acciones dirigidas a la primera acreditación oficial o mejora de la calidad certificada</t>
  </si>
  <si>
    <t>El proyecto es promovido por personas residentes en el territorio.</t>
  </si>
  <si>
    <t>Se observará un período de residencia permanente de más de 3 años, anteriores a la solicitud de ayuda. En el caso de las entidades jurídicas, estas deben ser propiedad de personas residentes al menos en un 51% de su capital.</t>
  </si>
  <si>
    <t>El proyecto es promovido por personas neo-residentes en el territorio.</t>
  </si>
  <si>
    <t>Se observará un período de residencia permanente de al menos 6 meses, anteriores a la solicitud de ayuda. En el caso de las entidades jurídicas, estas deben ser propiedad de personas residentes al menos en un 51% de su capital.</t>
  </si>
  <si>
    <t>Se acreditará residencia en la Comarca en algún momento anterior a la solicitud de ayuda. En el caso de las entidades jurídicas, estas deben ser propiedad de personas residentes al menos en un 51% de su capital.</t>
  </si>
  <si>
    <t>Si el resultado está en ese umbral se asigna 4 puntos.</t>
  </si>
  <si>
    <t>Ratio inversión subvencionada dividida entre la creación de empleo es entre 30.001€ y 60.000€</t>
  </si>
  <si>
    <t>Si el resultado está en ese umbral se asigna 2 puntos.</t>
  </si>
  <si>
    <t>Ratio inversión subvencionada dividida entre la creación de empleo es mayor que 60.001€</t>
  </si>
  <si>
    <t>Si el resultado está en ese umbral se asigna 1 punto.</t>
  </si>
  <si>
    <t>Participación en asociaciones o cualesquiera otras estructuras de cooperación vertical u horizontal</t>
  </si>
  <si>
    <t>Participación en asociaciones o cualesquiera otras estructuras de cooperación vertical u horizontal con domicilio en la comarca</t>
  </si>
  <si>
    <t>Se valora que, además de cumplir con el requisito anterior, la entidad a la que está asociada la p. solicitante, debe estar domiciliada en la Comarca.</t>
  </si>
  <si>
    <t>Participación en asociaciones o cualesquiera otras estructuras entre cuyos objetivos principales se encuentre alguno de los objetivos transversales</t>
  </si>
  <si>
    <t>Se valora que, además de cumplir lo exigido en otros subcriterios, que la entidad a la que está asociada cuenta entre sus objetivos principales alguno de los objetivos transversales indicados en la EDL: 1./ Promover la innovación en los procesos, productos y servicios 2./Fomentar la conservación del Medio ambiente 3./Potenciar la lucha contra el Cambio Climático 4./Contribuir a la Igualdad de oportunidades entre mujeres y hombres 5./Mejorar la participación de la población joven 6./Impulsar la creación de empleo.</t>
  </si>
  <si>
    <t>Se valoran varias ratios económicas y financieras que indicarán la probabilidad de éxito o fracaso de la iniciativa propuesta. antes de acometerla. Si los valores de estas ratios son adecuados, es decir están dentro de los intervalos generalmente aceptados en el Instituto de Auditoria de Cuentas Publico, tendrán mayor puntuación. Periodo elegible para puntuar: Ratios calculadas en la Solicitud de Ayuda.</t>
  </si>
  <si>
    <t>Ratio de eficacia es igual o mayor que 2</t>
  </si>
  <si>
    <t>Ratio de eficacia es mayor que 1 y menor que 2</t>
  </si>
  <si>
    <t>Ratio de eficacia está entre 0,5 y 1</t>
  </si>
  <si>
    <t>A) RATIOS A VALORAR EN TODAS LA SOLICITUDES PROMOVIDAS POR EMPRESAS "PERSONAS FISICAS". PARA EMPRESAS EXISTENTES, la información se obtendrá de las Cuentas y Balances económicos ya cerrados de los 3 últimos ejercicios. PARA NUEVAS EMPRESAS, la información económica se obtendrá de las Cuentas y Balances económicos Previsionales de los primeros 3 años desde el inicio de la actividad empresarial.</t>
  </si>
  <si>
    <t>B) RATIOS A VALORAR EN TODAS LA SOLICITUDES PROMOVIDAS POR EMPRESAS "PERSONAS JURIDICAS" QUE YA ESTAN CREADAS Y EN FUNCIONAMIENTO. La información se obtendrá de las Cuentas y Balances económicos ya cerrados de los 3 últimos ejercicios</t>
  </si>
  <si>
    <t>Ratio de liquidez es mayor que 1,5</t>
  </si>
  <si>
    <t>Ratio de liquidez es mayor que 0,5 y menor que 1</t>
  </si>
  <si>
    <t>Ratio de endeudamiento es mayor que 0,5 y menor a 1</t>
  </si>
  <si>
    <t>Ratio de endeudamiento está entre 1 y 1,5</t>
  </si>
  <si>
    <t>Ratio de independencia financiera está entre el 50% y 100%</t>
  </si>
  <si>
    <t>Si cumple la ratio se asigna este valor.</t>
  </si>
  <si>
    <t>C) RATIOS A VALORAR EN TODAS LA SOLICITUDES PROMOVIDAS POR EMPRESAS "PERSONAS JURIDICAS" NUEVA CREACIÓN. La información económica se obten-drá de las Cuentas y Balances económicos Previsionales de los primeros 3 años desde el inicio de la actividad empresarial.</t>
  </si>
  <si>
    <t>Ratio de independencia financiera esta entre el 50% y 100%</t>
  </si>
  <si>
    <t>Se valora el número de Necesidades Prioritarias que incluye el proyecto conforme la EDL Sierra Sur de Jaén, donde se pueden consultar en detalle cada una de ellas. Periodo elegible para puntuar: Desde la Solicitud de Ayuda hasta la Solicitud de Pago. (VER ANEXO-III)</t>
  </si>
  <si>
    <t>ANEXO-II: INNOVACIÓN EN CRITERIOS DE SELECCIÓN “GRADO DE INNOVACIÓN DEL PROYECTO”</t>
  </si>
  <si>
    <t>ANEXO II-1: BATERÍA DE INICIATIVAS INNOVADORAS MANIFESTADAS</t>
  </si>
  <si>
    <t>TABLA ELEMENTOS INNOVADORES PRODUCTIVOS APLICABLES A LAS LINEAS DE AYUDAS</t>
  </si>
  <si>
    <t>Relación de servicios de proximidad de la EDL Sierra Sur de Jaén.</t>
  </si>
  <si>
    <r>
      <t>Tablas de</t>
    </r>
    <r>
      <rPr>
        <sz val="8"/>
        <color indexed="8"/>
        <rFont val="Calibri"/>
        <family val="2"/>
        <scheme val="minor"/>
      </rPr>
      <t xml:space="preserve"> Elementos Innovadores Sociales descritos en el apartado 5.3.3 del epígrafe 5 de la EDL Sierra Sur de Jaén.</t>
    </r>
  </si>
  <si>
    <r>
      <t>Se incluye a continuación, la Batería de Iniciativas innovadoras expuestas</t>
    </r>
    <r>
      <rPr>
        <sz val="8"/>
        <color indexed="8"/>
        <rFont val="Calibri"/>
        <family val="2"/>
        <scheme val="minor"/>
      </rPr>
      <t xml:space="preserve"> en el apartado 5.3.2 del epígrafe 5 de la EDL Sierra Sur de Jaén.</t>
    </r>
  </si>
  <si>
    <r>
      <t>Área temática 1.1. “Economía y estructura productiva. Agricultura, ganadería y agroindustria</t>
    </r>
    <r>
      <rPr>
        <b/>
        <sz val="11"/>
        <color rgb="FFFFFFFF"/>
        <rFont val="Calibri"/>
        <family val="2"/>
        <scheme val="minor"/>
      </rPr>
      <t>”</t>
    </r>
  </si>
  <si>
    <r>
      <t>Batería de 80 Necesidades Priorizadas expuestas</t>
    </r>
    <r>
      <rPr>
        <sz val="8"/>
        <color indexed="8"/>
        <rFont val="Calibri"/>
        <family val="2"/>
        <scheme val="minor"/>
      </rPr>
      <t xml:space="preserve"> en el apartado 5.1.3 del epígrafe 5 de la EDL Sierra Sur de Jaén.</t>
    </r>
  </si>
  <si>
    <r>
      <t xml:space="preserve">Media </t>
    </r>
    <r>
      <rPr>
        <b/>
        <sz val="8"/>
        <color theme="0"/>
        <rFont val="Calibri"/>
        <family val="2"/>
        <scheme val="minor"/>
      </rPr>
      <t>3 años</t>
    </r>
  </si>
  <si>
    <r>
      <t xml:space="preserve">C) OTRAS FUENTES DE FINANCIACION </t>
    </r>
    <r>
      <rPr>
        <sz val="11"/>
        <color theme="1"/>
        <rFont val="Calibri"/>
        <family val="2"/>
        <scheme val="minor"/>
      </rPr>
      <t xml:space="preserve">  (No incluir la subvención que solicita)</t>
    </r>
  </si>
  <si>
    <r>
      <t>PRODUCTO / SERVICIO</t>
    </r>
    <r>
      <rPr>
        <sz val="11"/>
        <color theme="1"/>
        <rFont val="Calibri"/>
        <family val="2"/>
        <scheme val="minor"/>
      </rPr>
      <t xml:space="preserve"> (Indique unidades y precio estimados)</t>
    </r>
  </si>
  <si>
    <t>Certificado de empadronamiento emitido por el ayuntamiento donde resida.</t>
  </si>
  <si>
    <t xml:space="preserve">• Certificado de persona con discapacidad emitida por la Consejería de Igualdad y Bienestar Social.
</t>
  </si>
  <si>
    <t>• Certificado de persona en riesgo de exclusión social emitido por los Servicios Sociales Municipales</t>
  </si>
  <si>
    <t>• Certificado de persona en riesgo de exclusión social emitido por los Servicios Sociales Municipales.</t>
  </si>
  <si>
    <t>•  Certificado de persona con discapacidad emitida por la Consejería de Igualdad y Bienestar Social.</t>
  </si>
  <si>
    <t>• Declaración Expresa Responsable de otras ayudas recibidas en los 5 años anteriores y de otras ayudas para este proyecto.</t>
  </si>
  <si>
    <t>• Certificado de la empresa suministradora justificativo del ahorro energético o Certificado de Institución de Certific. Oficial o Informe de Consultor Independiente que acredite.</t>
  </si>
  <si>
    <t xml:space="preserve">• Certificado y/o Titulo acreditativo de la formación recibida o impartida, emitido por la Institución o Entidad organizadora. </t>
  </si>
  <si>
    <t>• Documentación y/o cualquier otro elemento justificativo del elemento valorado</t>
  </si>
  <si>
    <t>Bases de Datos Oficiales de Ayudas Publicas (TESEO, GEA, RUD).</t>
  </si>
  <si>
    <t>Memoria; Acta de no inicio; Documentación  gráfica de la ubicación.</t>
  </si>
  <si>
    <t>Memoria y Acta Final de Ejecución; Documentación gráfica de la inversión.</t>
  </si>
  <si>
    <t>• Plan de Igualdad.
• Documentación y/o cualquier otro elemento justificativo de la Efectiva Conciliación .
• Convenio de Practicas y Certificación Centro Docente acreditativo.</t>
  </si>
  <si>
    <t>• TC1/ TC2 S. Social y justificantes de pago; Contratos de Trabajo Registrados en SEPE; Informe Vida Laboral de la entidad promotora (Código Cuenta Cotización).</t>
  </si>
  <si>
    <t>• DNI de las personas contratadas que cumplan este requisito</t>
  </si>
  <si>
    <t>• Certificado de persona con discapacidad emitida por la Consejería de Bienestar Social.</t>
  </si>
  <si>
    <t>• Documentación y/o cualquier otro elemento justificativo de acciones realizadas o a realizar.</t>
  </si>
  <si>
    <t>• Documentación y/o cualquier otro elemento justificativo de acciones realizadas.</t>
  </si>
  <si>
    <t>• Convenio de Practicas y Certificación Centro Docente acreditativo</t>
  </si>
  <si>
    <t>Acta de no inicio; Documentación gráfica de la ubicación. Escrituras de Constitución de Sociedades Mercantiles; Documento de Alta en Seguridad Social y  Declaración Censal de la persona autónoma.</t>
  </si>
  <si>
    <t>Acta Final de Ejecución; Documentación gráfica de la inversión; Alta Censal; Licencia de Actividad; Facturas,  justificantes de pago y apuntes contables.</t>
  </si>
  <si>
    <t xml:space="preserve">• Plan de igualdad de la entidad en vigor. • Convenios de prácticas. 
• Memoria de acciones ejecutadas en temas de igualdad.
</t>
  </si>
  <si>
    <t>• Cursos y Talleres Formativos, Eventos y Actos Informativos: Certificado y/o Titulo acreditativo de la acción recibida o impartida, emitido por la Institución o Entidad organizadora.
Si además, la acción es organizada por la persona solicitante y se realiza con posterioridad al trámite de audiencia,se practicará una comprobación directa por el instructor del procedimiento mediante acta de visita durante la celebración de la misma.
•  Actividades de Promoción, Estudios y Publicaciones: Material promocional y/o divulgativo y/o Estudios producidos con motivo del proyecto.</t>
  </si>
  <si>
    <t>• Cursos y Talleres Formativos, Eventos y Actos Informativos: Certificado y/o Titulo acreditativo de la acción recibida o impartida, emitido por la Institución o Entidad organizadora.
Si además, la acción es organizada por la persona solicitante y se realiza con posterioridad al trámite de audiencia,se practicará una comprobación directa por el instructor del procedimiento mediante acta de visita durante la celebración de la misma.
• Actividades de Promoción, Estudios y Publicaciones: Material promocional y/o divulgativo y/o Estudios producidos con motivo del proyecto.</t>
  </si>
  <si>
    <t>• Certificaciones de sistemas de Calidad implantados emitidas por la entidad certificadora.</t>
  </si>
  <si>
    <t xml:space="preserve">Memoria; Acta de no inicio; Documentación gráfica de la ubicación. </t>
  </si>
  <si>
    <t xml:space="preserve">Memoria; Certificado de empadronamiento y/o informe de residencia pasada emitido por el Ayuntamiento; Escrituras de Constitución de Sociedades Mercantiles </t>
  </si>
  <si>
    <t>• Documentación acreditativa de pertenencia a la Organización o
Entidad a la que está asociada.</t>
  </si>
  <si>
    <t>• Documento justificativo de ubicación del domicilio social de la entidad a la que está asociada.</t>
  </si>
  <si>
    <t>• Documentación acreditativa de pertenencia a la Entidad a la que
está asociada; Estatutos o Escrituras de Constitución o Certificado
de la Entidad a la que está asociada donde se pueda comprobar
los Objetivos transversales citados.</t>
  </si>
  <si>
    <t>• Documentación justificativa de la participación en las acciones en
cuestión.</t>
  </si>
  <si>
    <t>•  Informe justificativo de la consideración de servicio de proximidad.</t>
  </si>
  <si>
    <t xml:space="preserve">Memoria; Acta de no inicio; Documentación gráfica de la ubicación; </t>
  </si>
  <si>
    <t>•  Informe de la consideración de servicio de proximidad justificado por la persona solicitante.</t>
  </si>
  <si>
    <t>•  Informe justificativo del impacto en el colectivo concreto.</t>
  </si>
  <si>
    <t>Acreditación documental y/o física de los elementos innovadores valorados en Informe Justificativo aportado por la persona beneficiara en Trámite de Audiencia.</t>
  </si>
  <si>
    <t>• Informe justificativo del encuadramiento en alguna de las iniciativas innovadoras de la EDL.</t>
  </si>
  <si>
    <t>Acreditación documental y/o física de las necesidades valoradas en Informe Justificativo aportado por la persona beneficiara en Trámite de Audiencia.</t>
  </si>
  <si>
    <t>Naturaleza / Carácter</t>
  </si>
  <si>
    <t>Justificación Empleo (cumplimentar los valores en la hoja de Datos de Empleo)</t>
  </si>
  <si>
    <t>Justificación en Anexo II - Innovación</t>
  </si>
  <si>
    <t>Justificación en Anexo III - Necesidades Prioritarias</t>
  </si>
  <si>
    <t>**</t>
  </si>
  <si>
    <t>Otro servicios (no incluidos en los anteriores y que el promotor considere servicios de proximidad)</t>
  </si>
  <si>
    <t>Indicar el subcriterio a valorar ( y justificar el mismo cumplimentando el anexo I Servicios de Proximidad)</t>
  </si>
  <si>
    <t>Justificacion (Según cuadro presupuestario y Datos de creacción de empleo)</t>
  </si>
  <si>
    <r>
      <rPr>
        <u/>
        <sz val="8"/>
        <color theme="1"/>
        <rFont val="Calibri"/>
        <family val="2"/>
        <scheme val="minor"/>
      </rPr>
      <t xml:space="preserve">Empresas de nueva creación: </t>
    </r>
    <r>
      <rPr>
        <sz val="8"/>
        <color theme="1"/>
        <rFont val="Calibri"/>
        <family val="2"/>
        <scheme val="minor"/>
      </rPr>
      <t xml:space="preserve">introducción de productos o servicios viables comercialmente, en comparación con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sustitución de productos o servicios por otros que se consideren más viables comercialmente.</t>
    </r>
  </si>
  <si>
    <r>
      <rPr>
        <u/>
        <sz val="8"/>
        <color theme="1"/>
        <rFont val="Calibri"/>
        <family val="2"/>
        <scheme val="minor"/>
      </rPr>
      <t>Empresas de nueva creación:</t>
    </r>
    <r>
      <rPr>
        <sz val="8"/>
        <color theme="1"/>
        <rFont val="Calibri"/>
        <family val="2"/>
        <scheme val="minor"/>
      </rPr>
      <t xml:space="preserve"> introducción de una nueva gama productos o servicios inexistentes en la localidad donde se ejecuta el proyecto (deberán incluir una justificación objetiva).
Empresas existentes: Ofertar un producto o servicio que no formaba parte de su cartera de servicios o productos</t>
    </r>
  </si>
  <si>
    <r>
      <rPr>
        <u/>
        <sz val="8"/>
        <color theme="1"/>
        <rFont val="Calibri"/>
        <family val="2"/>
        <scheme val="minor"/>
      </rPr>
      <t xml:space="preserve">Empresas de nueva creación: </t>
    </r>
    <r>
      <rPr>
        <sz val="8"/>
        <color theme="1"/>
        <rFont val="Calibri"/>
        <family val="2"/>
        <scheme val="minor"/>
      </rPr>
      <t xml:space="preserve">introducción de productos o servicios respetuosos con el medioambiente (deberán incluir una justificación objetiva).
</t>
    </r>
    <r>
      <rPr>
        <u/>
        <sz val="8"/>
        <color theme="1"/>
        <rFont val="Calibri"/>
        <family val="2"/>
        <scheme val="minor"/>
      </rPr>
      <t>Empresas existentes:</t>
    </r>
    <r>
      <rPr>
        <sz val="8"/>
        <color theme="1"/>
        <rFont val="Calibri"/>
        <family val="2"/>
        <scheme val="minor"/>
      </rPr>
      <t xml:space="preserve"> reducción del impacto medioambiental de la actividad económica desarrollada.</t>
    </r>
  </si>
  <si>
    <r>
      <rPr>
        <u/>
        <sz val="8"/>
        <color theme="1"/>
        <rFont val="Calibri"/>
        <family val="2"/>
        <scheme val="minor"/>
      </rPr>
      <t xml:space="preserve">Empresas de nueva creación: </t>
    </r>
    <r>
      <rPr>
        <sz val="8"/>
        <color theme="1"/>
        <rFont val="Calibri"/>
        <family val="2"/>
        <scheme val="minor"/>
      </rPr>
      <t xml:space="preserve">introducción de productos o servicios con características físicas o técnicas distintas, en comparación con las empresas del sector de la localidad donde se ejecuta el proyecto (deberán incluir una justificación objetiva).
</t>
    </r>
    <r>
      <rPr>
        <u/>
        <sz val="8"/>
        <color theme="1"/>
        <rFont val="Calibri"/>
        <family val="2"/>
        <scheme val="minor"/>
      </rPr>
      <t xml:space="preserve">Empresas existentes: </t>
    </r>
    <r>
      <rPr>
        <sz val="8"/>
        <color theme="1"/>
        <rFont val="Calibri"/>
        <family val="2"/>
        <scheme val="minor"/>
      </rPr>
      <t>Introducción de cambios en las características físicas o técnicas de los productos o servicios constatables que aumenten la cuota de mercado</t>
    </r>
  </si>
  <si>
    <r>
      <rPr>
        <u/>
        <sz val="8"/>
        <color theme="1"/>
        <rFont val="Calibri"/>
        <family val="2"/>
        <scheme val="minor"/>
      </rPr>
      <t>Empresas de nueva creación:</t>
    </r>
    <r>
      <rPr>
        <sz val="8"/>
        <color theme="1"/>
        <rFont val="Calibri"/>
        <family val="2"/>
        <scheme val="minor"/>
      </rPr>
      <t xml:space="preserve"> introducción de productos o servicios con funciones o usos distintos a otros productos o servicios, en comparación con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introducción de nuevos usos para los productos o servicios de la empresa o nuevas funciones de los usos actuales que aumenten la cuota de mercado</t>
    </r>
  </si>
  <si>
    <r>
      <rPr>
        <u/>
        <sz val="8"/>
        <color theme="1"/>
        <rFont val="Calibri"/>
        <family val="2"/>
        <scheme val="minor"/>
      </rPr>
      <t>Empresas de nueva creación:</t>
    </r>
    <r>
      <rPr>
        <sz val="8"/>
        <color theme="1"/>
        <rFont val="Calibri"/>
        <family val="2"/>
        <scheme val="minor"/>
      </rPr>
      <t xml:space="preserve"> introducción de productos o servicios que aseguren la penetración en nuevos segmentos de mercado o nuevos ámbitos geográficos donde no hay presencia de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introducción de productos y servicios que faciliten la entrada a nuevos segmentos del mercado o a nuevos ámbitos geográficos.</t>
    </r>
  </si>
  <si>
    <r>
      <rPr>
        <u/>
        <sz val="8"/>
        <color theme="1"/>
        <rFont val="Calibri"/>
        <family val="2"/>
        <scheme val="minor"/>
      </rPr>
      <t xml:space="preserve">Empresas de nueva creación: </t>
    </r>
    <r>
      <rPr>
        <sz val="8"/>
        <color theme="1"/>
        <rFont val="Calibri"/>
        <family val="2"/>
        <scheme val="minor"/>
      </rPr>
      <t xml:space="preserve">introducción de nuevos mecanismos para la promoción de los productos o servicios distintos a los utilizados por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introducción de nuevos mecanismos para la promoción de los productos o servicios de la empresa beneficiaria.</t>
    </r>
  </si>
  <si>
    <r>
      <rPr>
        <u/>
        <sz val="8"/>
        <color theme="1"/>
        <rFont val="Calibri"/>
        <family val="2"/>
        <scheme val="minor"/>
      </rPr>
      <t>Empresas de nueva creación:</t>
    </r>
    <r>
      <rPr>
        <sz val="8"/>
        <color theme="1"/>
        <rFont val="Calibri"/>
        <family val="2"/>
        <scheme val="minor"/>
      </rPr>
      <t xml:space="preserve"> introducción de nuevos mecanismos para reducir los plazos de entrega de productos o los tiempos de espera en la prestación de un servicio distintos a los utilizados por las empresas del sector de la localidad donde se ejecuta el proyecto (deberán incluir una justificación objetiva).
</t>
    </r>
    <r>
      <rPr>
        <u/>
        <sz val="8"/>
        <color theme="1"/>
        <rFont val="Calibri"/>
        <family val="2"/>
        <scheme val="minor"/>
      </rPr>
      <t xml:space="preserve">Empresas existentes: </t>
    </r>
    <r>
      <rPr>
        <sz val="8"/>
        <color theme="1"/>
        <rFont val="Calibri"/>
        <family val="2"/>
        <scheme val="minor"/>
      </rPr>
      <t>introducción de nuevos mecanismos para reducir los plazos de entrega de productos o los tiempos de espera en la prestación de un servicio.</t>
    </r>
  </si>
  <si>
    <r>
      <rPr>
        <u/>
        <sz val="8"/>
        <color theme="1"/>
        <rFont val="Calibri"/>
        <family val="2"/>
        <scheme val="minor"/>
      </rPr>
      <t>Empresas de nueva creación:</t>
    </r>
    <r>
      <rPr>
        <sz val="8"/>
        <color theme="1"/>
        <rFont val="Calibri"/>
        <family val="2"/>
        <scheme val="minor"/>
      </rPr>
      <t xml:space="preserve"> implantación de sistemas de gestión de la calidad u otro tipo de certificaciones (deberán incluir una justificación objetiva).
</t>
    </r>
    <r>
      <rPr>
        <u/>
        <sz val="8"/>
        <color theme="1"/>
        <rFont val="Calibri"/>
        <family val="2"/>
        <scheme val="minor"/>
      </rPr>
      <t>Empresas existentes:</t>
    </r>
    <r>
      <rPr>
        <sz val="8"/>
        <color theme="1"/>
        <rFont val="Calibri"/>
        <family val="2"/>
        <scheme val="minor"/>
      </rPr>
      <t xml:space="preserve"> implantación o mejora de sistemas de gestión de la calidad u otro tipo de certificaciones.</t>
    </r>
  </si>
  <si>
    <r>
      <rPr>
        <u/>
        <sz val="8"/>
        <color theme="1"/>
        <rFont val="Calibri"/>
        <family val="2"/>
        <scheme val="minor"/>
      </rPr>
      <t xml:space="preserve">Empresas de nueva creación: </t>
    </r>
    <r>
      <rPr>
        <sz val="8"/>
        <color theme="1"/>
        <rFont val="Calibri"/>
        <family val="2"/>
        <scheme val="minor"/>
      </rPr>
      <t xml:space="preserve">incorporación de flexibilidad al proceso básico de producción o a la oferta de servicios, en comparación con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incorporación o mejora de la versatilidad  del proceso básico de producción o de la oferta de servicios.</t>
    </r>
  </si>
  <si>
    <r>
      <rPr>
        <u/>
        <sz val="8"/>
        <color theme="1"/>
        <rFont val="Calibri"/>
        <family val="2"/>
        <scheme val="minor"/>
      </rPr>
      <t xml:space="preserve">Empresas de nueva creación: </t>
    </r>
    <r>
      <rPr>
        <sz val="8"/>
        <color theme="1"/>
        <rFont val="Calibri"/>
        <family val="2"/>
        <scheme val="minor"/>
      </rPr>
      <t xml:space="preserve">incorporación de elementos productivos que reduzcan los costes laborales unitarios vía aumento de productividad, en comparación con las empresas del sector de la localidad donde se ejecuta el proyecto (deberán incluir una justificación objetiva).
</t>
    </r>
    <r>
      <rPr>
        <u/>
        <sz val="8"/>
        <color theme="1"/>
        <rFont val="Calibri"/>
        <family val="2"/>
        <scheme val="minor"/>
      </rPr>
      <t xml:space="preserve">Empresas existentes: </t>
    </r>
    <r>
      <rPr>
        <sz val="8"/>
        <color theme="1"/>
        <rFont val="Calibri"/>
        <family val="2"/>
        <scheme val="minor"/>
      </rPr>
      <t>disminución de los costes de personal por producto, incrementando la productividad.</t>
    </r>
  </si>
  <si>
    <r>
      <rPr>
        <u/>
        <sz val="8"/>
        <color theme="1"/>
        <rFont val="Calibri"/>
        <family val="2"/>
        <scheme val="minor"/>
      </rPr>
      <t xml:space="preserve">Empresas de nueva creación: </t>
    </r>
    <r>
      <rPr>
        <sz val="8"/>
        <color theme="1"/>
        <rFont val="Calibri"/>
        <family val="2"/>
        <scheme val="minor"/>
      </rPr>
      <t xml:space="preserve">incorporación de elementos productivos que reduzcan el consumo de materiales y/o de energía, en comparación con las empresas del sector de la localidad donde se ejecuta el proyecto (deberán incluir una justificación objetiva).
</t>
    </r>
    <r>
      <rPr>
        <u/>
        <sz val="8"/>
        <color theme="1"/>
        <rFont val="Calibri"/>
        <family val="2"/>
        <scheme val="minor"/>
      </rPr>
      <t xml:space="preserve">Empresas existentes: </t>
    </r>
    <r>
      <rPr>
        <sz val="8"/>
        <color theme="1"/>
        <rFont val="Calibri"/>
        <family val="2"/>
        <scheme val="minor"/>
      </rPr>
      <t>reducción del uso de materiales y/o de energía, en comparación con productos o servicios anteriores.</t>
    </r>
  </si>
  <si>
    <r>
      <rPr>
        <u/>
        <sz val="8"/>
        <color theme="1"/>
        <rFont val="Calibri"/>
        <family val="2"/>
        <scheme val="minor"/>
      </rPr>
      <t>Empresas de nueva creación:</t>
    </r>
    <r>
      <rPr>
        <sz val="8"/>
        <color theme="1"/>
        <rFont val="Calibri"/>
        <family val="2"/>
        <scheme val="minor"/>
      </rPr>
      <t xml:space="preserve"> incorporación de elementos que reduzcan los costes del proceso de diseño de nuevos productos o servicios, en comparación con las empresas del sector de la localidad donde se ejecuta el proyecto (deberán incluir una justificación objetiva).
</t>
    </r>
    <r>
      <rPr>
        <u/>
        <sz val="8"/>
        <color theme="1"/>
        <rFont val="Calibri"/>
        <family val="2"/>
        <scheme val="minor"/>
      </rPr>
      <t xml:space="preserve">Empresas existentes: </t>
    </r>
    <r>
      <rPr>
        <sz val="8"/>
        <color theme="1"/>
        <rFont val="Calibri"/>
        <family val="2"/>
        <scheme val="minor"/>
      </rPr>
      <t>reducción de los costes del proceso de diseño de nuevos productos o servicios.</t>
    </r>
  </si>
  <si>
    <r>
      <rPr>
        <u/>
        <sz val="8"/>
        <color theme="1"/>
        <rFont val="Calibri"/>
        <family val="2"/>
        <scheme val="minor"/>
      </rPr>
      <t xml:space="preserve">Empresas de nueva creación: </t>
    </r>
    <r>
      <rPr>
        <sz val="8"/>
        <color theme="1"/>
        <rFont val="Calibri"/>
        <family val="2"/>
        <scheme val="minor"/>
      </rPr>
      <t xml:space="preserve">incorporación de elementos que reduzcan las demoras en los procesos productivos o la disminución del tiempo de espera al prestar un servicio, en comparación con las empresas del sector de la localidad donde se ejecuta el proyecto (deberán incluir una justificación objetiva).
</t>
    </r>
    <r>
      <rPr>
        <u/>
        <sz val="8"/>
        <color theme="1"/>
        <rFont val="Calibri"/>
        <family val="2"/>
        <scheme val="minor"/>
      </rPr>
      <t xml:space="preserve">Empresas existentes: </t>
    </r>
    <r>
      <rPr>
        <sz val="8"/>
        <color theme="1"/>
        <rFont val="Calibri"/>
        <family val="2"/>
        <scheme val="minor"/>
      </rPr>
      <t>reducción de los tiempos muertos en los procesos productivos o disminución del tiempo de espera al prestar un servicio.</t>
    </r>
  </si>
  <si>
    <r>
      <rPr>
        <u/>
        <sz val="8"/>
        <color theme="1"/>
        <rFont val="Calibri"/>
        <family val="2"/>
        <scheme val="minor"/>
      </rPr>
      <t xml:space="preserve">Empresas de nueva creación o ya existentes: </t>
    </r>
    <r>
      <rPr>
        <sz val="8"/>
        <color theme="1"/>
        <rFont val="Calibri"/>
        <family val="2"/>
        <scheme val="minor"/>
      </rPr>
      <t>cumplimiento de una normativa que afecta a la prestación del servicio o a la oferta del producto, únicamente cuando se trate de normas de carácter voluntario.</t>
    </r>
  </si>
  <si>
    <r>
      <rPr>
        <u/>
        <sz val="8"/>
        <color theme="1"/>
        <rFont val="Calibri"/>
        <family val="2"/>
        <scheme val="minor"/>
      </rPr>
      <t>Empresas de nueva creación:</t>
    </r>
    <r>
      <rPr>
        <sz val="8"/>
        <color theme="1"/>
        <rFont val="Calibri"/>
        <family val="2"/>
        <scheme val="minor"/>
      </rPr>
      <t xml:space="preserve"> incorporación de elementos productivos que reduzcan los costes unitarios de explotación relacionados con la prestación de un servicio, en comparación con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reducción de los costes unitarios de explotación de la prestación de un servicio.</t>
    </r>
  </si>
  <si>
    <r>
      <rPr>
        <u/>
        <sz val="8"/>
        <color theme="1"/>
        <rFont val="Calibri"/>
        <family val="2"/>
        <scheme val="minor"/>
      </rPr>
      <t xml:space="preserve">Empresas de nueva creación: </t>
    </r>
    <r>
      <rPr>
        <sz val="8"/>
        <color theme="1"/>
        <rFont val="Calibri"/>
        <family val="2"/>
        <scheme val="minor"/>
      </rPr>
      <t xml:space="preserve">incorporación de sistemas eficientes de suministro de materias primas, en comparación con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mejora logística en relación al suministro de insumos.</t>
    </r>
  </si>
  <si>
    <r>
      <rPr>
        <u/>
        <sz val="8"/>
        <color theme="1"/>
        <rFont val="Calibri"/>
        <family val="2"/>
        <scheme val="minor"/>
      </rPr>
      <t>Empresas de nueva creación:</t>
    </r>
    <r>
      <rPr>
        <sz val="8"/>
        <color theme="1"/>
        <rFont val="Calibri"/>
        <family val="2"/>
        <scheme val="minor"/>
      </rPr>
      <t xml:space="preserve"> incorporación de sistemas de información externos que mejoren la comunicación empresarial, en comparación con las empresas del sector de la localidad donde se ejecuta el proyecto (deberán incluir una justificación objetiva).
</t>
    </r>
    <r>
      <rPr>
        <u/>
        <sz val="8"/>
        <color theme="1"/>
        <rFont val="Calibri"/>
        <family val="2"/>
        <scheme val="minor"/>
      </rPr>
      <t xml:space="preserve">Empresas existentes: </t>
    </r>
    <r>
      <rPr>
        <sz val="8"/>
        <color theme="1"/>
        <rFont val="Calibri"/>
        <family val="2"/>
        <scheme val="minor"/>
      </rPr>
      <t>mejora de los procesos de tratamiento de información que mejoren la comunicación empresarial exterior.</t>
    </r>
  </si>
  <si>
    <r>
      <rPr>
        <u/>
        <sz val="8"/>
        <color theme="1"/>
        <rFont val="Calibri"/>
        <family val="2"/>
        <scheme val="minor"/>
      </rPr>
      <t xml:space="preserve">Empresas de nueva creación: </t>
    </r>
    <r>
      <rPr>
        <sz val="8"/>
        <color theme="1"/>
        <rFont val="Calibri"/>
        <family val="2"/>
        <scheme val="minor"/>
      </rPr>
      <t xml:space="preserve">incorporación de sistemas de información internos que mejoren las relaciones interpersonales y la organización, en comparación con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desarrollo de sistemas de información internos que mejoren las relaciones interpersonales y la organización.</t>
    </r>
  </si>
  <si>
    <r>
      <rPr>
        <u/>
        <sz val="8"/>
        <color theme="1"/>
        <rFont val="Calibri"/>
        <family val="2"/>
        <scheme val="minor"/>
      </rPr>
      <t xml:space="preserve">Empresas de nueva creación: </t>
    </r>
    <r>
      <rPr>
        <sz val="8"/>
        <color theme="1"/>
        <rFont val="Calibri"/>
        <family val="2"/>
        <scheme val="minor"/>
      </rPr>
      <t xml:space="preserve">incorporación de sistemas de información internos que mejoren las relaciones interpersonales y la organización, en comparación con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desarrollo de sistemas de colaboración con otras empresas en I+D y mejora del conocimiento. </t>
    </r>
  </si>
  <si>
    <r>
      <rPr>
        <u/>
        <sz val="8"/>
        <color theme="1"/>
        <rFont val="Calibri"/>
        <family val="2"/>
        <scheme val="minor"/>
      </rPr>
      <t>Empresas de nueva creación: i</t>
    </r>
    <r>
      <rPr>
        <sz val="8"/>
        <color theme="1"/>
        <rFont val="Calibri"/>
        <family val="2"/>
        <scheme val="minor"/>
      </rPr>
      <t xml:space="preserve">ncorporación de oferta de productos o servicios adaptados a necesidades de colectivos específicos no atendidas, en comparación con las empresas del sector de localidad donde se ejecuta el proyecto (deberán incluir una justificación objetiva).
</t>
    </r>
    <r>
      <rPr>
        <u/>
        <sz val="8"/>
        <color theme="1"/>
        <rFont val="Calibri"/>
        <family val="2"/>
        <scheme val="minor"/>
      </rPr>
      <t xml:space="preserve">Empresas existentes: </t>
    </r>
    <r>
      <rPr>
        <sz val="8"/>
        <color theme="1"/>
        <rFont val="Calibri"/>
        <family val="2"/>
        <scheme val="minor"/>
      </rPr>
      <t>Adaptación de la oferta de productos o servicios a necesidades de colectivos específicos no atendidas</t>
    </r>
  </si>
  <si>
    <r>
      <rPr>
        <u/>
        <sz val="8"/>
        <color theme="1"/>
        <rFont val="Calibri"/>
        <family val="2"/>
        <scheme val="minor"/>
      </rPr>
      <t xml:space="preserve">Empresas de nueva creación: </t>
    </r>
    <r>
      <rPr>
        <sz val="8"/>
        <color theme="1"/>
        <rFont val="Calibri"/>
        <family val="2"/>
        <scheme val="minor"/>
      </rPr>
      <t>incorporación de sistemas que mejoren la atención al cliente o su fidelización, en comparación con las empresas del sector de la localidad donde se ejecuta el proyecto (deberán incluir una justificación objetiva).
Empresas existentes: desarrollo de sistemas que mejoren la atención al cliente o de mecanismos de fidelización.</t>
    </r>
  </si>
  <si>
    <r>
      <rPr>
        <u/>
        <sz val="8"/>
        <color theme="1"/>
        <rFont val="Calibri"/>
        <family val="2"/>
        <scheme val="minor"/>
      </rPr>
      <t>Empresas de nueva creación:</t>
    </r>
    <r>
      <rPr>
        <sz val="8"/>
        <color theme="1"/>
        <rFont val="Calibri"/>
        <family val="2"/>
        <scheme val="minor"/>
      </rPr>
      <t xml:space="preserve"> incorporación de sistemas en el espacio de trabajo que afectan a la ergonomía y a la mejora del clima laboral, en comparación con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desarrollo de sistemas en el espacio de trabajo que afectan a la ergonomía y a la mejora del clima laboral</t>
    </r>
  </si>
  <si>
    <r>
      <rPr>
        <u/>
        <sz val="8"/>
        <color theme="1"/>
        <rFont val="Calibri"/>
        <family val="2"/>
        <scheme val="minor"/>
      </rPr>
      <t>Empresas de nueva creación:</t>
    </r>
    <r>
      <rPr>
        <sz val="8"/>
        <color theme="1"/>
        <rFont val="Calibri"/>
        <family val="2"/>
        <scheme val="minor"/>
      </rPr>
      <t xml:space="preserve"> incorporación de sistemas que reduzcan los residuos y elementos nocivos para el medioambiente (Huella de carbono, Huella Hídrica…), en comparación con las empresas del sector de la localidad donde se ejecuta el proyecto (deberán incluir una justificación objetiva).
</t>
    </r>
    <r>
      <rPr>
        <u/>
        <sz val="8"/>
        <color theme="1"/>
        <rFont val="Calibri"/>
        <family val="2"/>
        <scheme val="minor"/>
      </rPr>
      <t xml:space="preserve">Empresas existentes: </t>
    </r>
    <r>
      <rPr>
        <sz val="8"/>
        <color theme="1"/>
        <rFont val="Calibri"/>
        <family val="2"/>
        <scheme val="minor"/>
      </rPr>
      <t xml:space="preserve">reducción de residuos y elementos nocivos para el medioambiente (Huella de carbono, Huella Hídrica…) </t>
    </r>
  </si>
  <si>
    <r>
      <rPr>
        <u/>
        <sz val="8"/>
        <color theme="1"/>
        <rFont val="Calibri"/>
        <family val="2"/>
        <scheme val="minor"/>
      </rPr>
      <t xml:space="preserve">Empresas de nueva creación: </t>
    </r>
    <r>
      <rPr>
        <sz val="8"/>
        <color theme="1"/>
        <rFont val="Calibri"/>
        <family val="2"/>
        <scheme val="minor"/>
      </rPr>
      <t xml:space="preserve">incorporación de sistemas que mejoren la seguridad y sanidad alimentaria, en comparación con las empresas del sector de la localidad donde se ejecuta el proyecto (deberán incluir una justificación objetiva).
</t>
    </r>
    <r>
      <rPr>
        <u/>
        <sz val="8"/>
        <color theme="1"/>
        <rFont val="Calibri"/>
        <family val="2"/>
        <scheme val="minor"/>
      </rPr>
      <t>Empresas existentes:</t>
    </r>
    <r>
      <rPr>
        <sz val="8"/>
        <color theme="1"/>
        <rFont val="Calibri"/>
        <family val="2"/>
        <scheme val="minor"/>
      </rPr>
      <t xml:space="preserve"> desarrollo o mejora de los sistemas de seguridad y sanidad alimentaria.</t>
    </r>
  </si>
  <si>
    <t>ASPECTOS INNOVADORES PRODUCTIVOS</t>
  </si>
  <si>
    <t>ANEXO-I: SERVICIOS DE PROXIMIDAD EN CRITERIO DE SELECCIÓN Nº 11 “ACCESO Y CALIDAD DE LOS S. DE PROXIMIDAD”</t>
  </si>
  <si>
    <t>PROGRAMA DE INTERVENCIÓN PARA LA ADECUACIÓN Y FOMENTO DE LOS RECURSOS PÚBLICOS MUNICIPALES</t>
  </si>
  <si>
    <t>Linea 3 PLAN INTEGRAL DE APOYO AL TEJIDO PRODUCTIVO A TRAVÉS DE EMPRESAS QUE FAVOREZCAN EL EMPLEO COMARCAL</t>
  </si>
  <si>
    <t xml:space="preserve">  GDR: JA07  Convocatoria: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</si>
</sst>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 _€_-;\-* #,##0\ _€_-;_-* &quot;-&quot;??\ _€_-;_-@_-"/>
    <numFmt numFmtId="166" formatCode="#,##0.00\ &quot;€&quot;"/>
    <numFmt numFmtId="167" formatCode="[$-F800]dddd\,\ mmmm\ dd\,\ yyyy"/>
    <numFmt numFmtId="168" formatCode="0_ ;\-0\ "/>
    <numFmt numFmtId="169" formatCode="#,##0.00_ ;\-#,##0.00\ "/>
  </numFmts>
  <fonts count="72" x14ac:knownFonts="1">
    <font>
      <sz val="11"/>
      <color theme="1"/>
      <name val="Calibri"/>
      <family val="2"/>
      <scheme val="minor"/>
    </font>
    <font>
      <sz val="11"/>
      <color theme="1"/>
      <name val="Calibri"/>
      <family val="2"/>
      <scheme val="minor"/>
    </font>
    <font>
      <sz val="10"/>
      <name val="MS Sans Serif"/>
      <family val="2"/>
    </font>
    <font>
      <sz val="10"/>
      <name val="Arial"/>
      <family val="2"/>
    </font>
    <font>
      <sz val="10"/>
      <color theme="1"/>
      <name val="Calibri"/>
      <family val="2"/>
      <scheme val="minor"/>
    </font>
    <font>
      <b/>
      <sz val="10"/>
      <color theme="1"/>
      <name val="Calibri"/>
      <family val="2"/>
      <scheme val="minor"/>
    </font>
    <font>
      <sz val="9"/>
      <color indexed="81"/>
      <name val="Tahoma"/>
      <family val="2"/>
    </font>
    <font>
      <b/>
      <sz val="11"/>
      <color theme="0"/>
      <name val="Calibri"/>
      <family val="2"/>
      <scheme val="minor"/>
    </font>
    <font>
      <sz val="11"/>
      <color rgb="FFFF0000"/>
      <name val="Calibri"/>
      <family val="2"/>
      <scheme val="minor"/>
    </font>
    <font>
      <b/>
      <sz val="11"/>
      <color theme="1"/>
      <name val="Calibri"/>
      <family val="2"/>
      <scheme val="minor"/>
    </font>
    <font>
      <sz val="8"/>
      <name val="Calibri"/>
      <family val="2"/>
      <scheme val="minor"/>
    </font>
    <font>
      <sz val="6"/>
      <color rgb="FFFF0000"/>
      <name val="Calibri"/>
      <family val="2"/>
      <scheme val="minor"/>
    </font>
    <font>
      <b/>
      <sz val="18"/>
      <color theme="0"/>
      <name val="Calibri"/>
      <family val="2"/>
      <scheme val="minor"/>
    </font>
    <font>
      <b/>
      <sz val="16"/>
      <color theme="0"/>
      <name val="Calibri"/>
      <family val="2"/>
      <scheme val="minor"/>
    </font>
    <font>
      <sz val="8"/>
      <color rgb="FFFFFF00"/>
      <name val="Calibri"/>
      <family val="2"/>
      <scheme val="minor"/>
    </font>
    <font>
      <b/>
      <sz val="8"/>
      <color rgb="FF00B050"/>
      <name val="Calibri"/>
      <family val="2"/>
      <scheme val="minor"/>
    </font>
    <font>
      <sz val="8"/>
      <color theme="0"/>
      <name val="Calibri"/>
      <family val="2"/>
      <scheme val="minor"/>
    </font>
    <font>
      <b/>
      <sz val="10"/>
      <name val="Calibri"/>
      <family val="2"/>
      <scheme val="minor"/>
    </font>
    <font>
      <sz val="11"/>
      <name val="Calibri"/>
      <family val="2"/>
      <scheme val="minor"/>
    </font>
    <font>
      <sz val="10"/>
      <color theme="0"/>
      <name val="Calibri"/>
      <family val="2"/>
      <scheme val="minor"/>
    </font>
    <font>
      <b/>
      <sz val="9"/>
      <name val="Calibri"/>
      <family val="2"/>
      <scheme val="minor"/>
    </font>
    <font>
      <b/>
      <sz val="8"/>
      <name val="Calibri"/>
      <family val="2"/>
      <scheme val="minor"/>
    </font>
    <font>
      <sz val="10"/>
      <color rgb="FFFFFF00"/>
      <name val="Calibri"/>
      <family val="2"/>
      <scheme val="minor"/>
    </font>
    <font>
      <sz val="9"/>
      <color rgb="FFFFFF00"/>
      <name val="Calibri"/>
      <family val="2"/>
      <scheme val="minor"/>
    </font>
    <font>
      <b/>
      <sz val="11"/>
      <name val="Calibri"/>
      <family val="2"/>
      <scheme val="minor"/>
    </font>
    <font>
      <sz val="10"/>
      <name val="Calibri"/>
      <family val="2"/>
      <scheme val="minor"/>
    </font>
    <font>
      <sz val="9"/>
      <color theme="1"/>
      <name val="Calibri"/>
      <family val="2"/>
      <scheme val="minor"/>
    </font>
    <font>
      <b/>
      <sz val="14"/>
      <name val="Calibri"/>
      <family val="2"/>
      <scheme val="minor"/>
    </font>
    <font>
      <b/>
      <sz val="10"/>
      <color theme="3"/>
      <name val="Calibri"/>
      <family val="2"/>
      <scheme val="minor"/>
    </font>
    <font>
      <b/>
      <sz val="8"/>
      <color theme="0"/>
      <name val="Calibri"/>
      <family val="2"/>
      <scheme val="minor"/>
    </font>
    <font>
      <b/>
      <sz val="10"/>
      <color theme="0"/>
      <name val="Calibri"/>
      <family val="2"/>
      <scheme val="minor"/>
    </font>
    <font>
      <b/>
      <sz val="12"/>
      <color theme="0"/>
      <name val="Calibri"/>
      <family val="2"/>
      <scheme val="minor"/>
    </font>
    <font>
      <sz val="8"/>
      <color theme="1"/>
      <name val="Calibri"/>
      <family val="2"/>
      <scheme val="minor"/>
    </font>
    <font>
      <b/>
      <sz val="12"/>
      <color theme="1"/>
      <name val="Calibri"/>
      <family val="2"/>
      <scheme val="minor"/>
    </font>
    <font>
      <b/>
      <sz val="8"/>
      <color theme="1"/>
      <name val="Calibri"/>
      <family val="2"/>
      <scheme val="minor"/>
    </font>
    <font>
      <b/>
      <sz val="10"/>
      <color rgb="FF7030A0"/>
      <name val="Calibri"/>
      <family val="2"/>
      <scheme val="minor"/>
    </font>
    <font>
      <sz val="10"/>
      <color theme="6" tint="0.59999389629810485"/>
      <name val="Calibri"/>
      <family val="2"/>
      <scheme val="minor"/>
    </font>
    <font>
      <sz val="10"/>
      <color theme="6" tint="0.79998168889431442"/>
      <name val="Calibri"/>
      <family val="2"/>
      <scheme val="minor"/>
    </font>
    <font>
      <sz val="5"/>
      <color rgb="FFFF0000"/>
      <name val="Calibri"/>
      <family val="2"/>
      <scheme val="minor"/>
    </font>
    <font>
      <sz val="10"/>
      <color theme="0" tint="-0.499984740745262"/>
      <name val="Calibri"/>
      <family val="2"/>
      <scheme val="minor"/>
    </font>
    <font>
      <i/>
      <sz val="8"/>
      <name val="Calibri"/>
      <family val="2"/>
      <scheme val="minor"/>
    </font>
    <font>
      <b/>
      <sz val="14"/>
      <color theme="1"/>
      <name val="Calibri"/>
      <family val="2"/>
      <scheme val="minor"/>
    </font>
    <font>
      <sz val="8"/>
      <color indexed="8"/>
      <name val="Calibri"/>
      <family val="2"/>
      <scheme val="minor"/>
    </font>
    <font>
      <b/>
      <sz val="11"/>
      <color rgb="FFFFFFFF"/>
      <name val="Calibri"/>
      <family val="2"/>
      <scheme val="minor"/>
    </font>
    <font>
      <sz val="9"/>
      <name val="Calibri"/>
      <family val="2"/>
      <scheme val="minor"/>
    </font>
    <font>
      <b/>
      <i/>
      <sz val="8"/>
      <color theme="0"/>
      <name val="Calibri"/>
      <family val="2"/>
      <scheme val="minor"/>
    </font>
    <font>
      <b/>
      <i/>
      <sz val="8"/>
      <color theme="1"/>
      <name val="Calibri"/>
      <family val="2"/>
      <scheme val="minor"/>
    </font>
    <font>
      <i/>
      <sz val="11"/>
      <color theme="1"/>
      <name val="Calibri"/>
      <family val="2"/>
      <scheme val="minor"/>
    </font>
    <font>
      <i/>
      <sz val="8"/>
      <color theme="1"/>
      <name val="Calibri"/>
      <family val="2"/>
      <scheme val="minor"/>
    </font>
    <font>
      <sz val="6"/>
      <color theme="0"/>
      <name val="Calibri"/>
      <family val="2"/>
      <scheme val="minor"/>
    </font>
    <font>
      <b/>
      <i/>
      <sz val="11"/>
      <color theme="0"/>
      <name val="Calibri"/>
      <family val="2"/>
      <scheme val="minor"/>
    </font>
    <font>
      <b/>
      <i/>
      <sz val="9"/>
      <color theme="0"/>
      <name val="Calibri"/>
      <family val="2"/>
      <scheme val="minor"/>
    </font>
    <font>
      <b/>
      <i/>
      <sz val="8"/>
      <name val="Calibri"/>
      <family val="2"/>
      <scheme val="minor"/>
    </font>
    <font>
      <sz val="9"/>
      <color theme="0"/>
      <name val="Calibri"/>
      <family val="2"/>
      <scheme val="minor"/>
    </font>
    <font>
      <sz val="11"/>
      <color rgb="FFFFFF00"/>
      <name val="Calibri"/>
      <family val="2"/>
      <scheme val="minor"/>
    </font>
    <font>
      <sz val="9"/>
      <color rgb="FFFF0000"/>
      <name val="Calibri"/>
      <family val="2"/>
      <scheme val="minor"/>
    </font>
    <font>
      <b/>
      <sz val="10"/>
      <color rgb="FF0070C0"/>
      <name val="Calibri"/>
      <family val="2"/>
      <scheme val="minor"/>
    </font>
    <font>
      <b/>
      <i/>
      <sz val="9"/>
      <color theme="1"/>
      <name val="Calibri"/>
      <family val="2"/>
      <scheme val="minor"/>
    </font>
    <font>
      <i/>
      <sz val="9"/>
      <name val="Calibri"/>
      <family val="2"/>
      <scheme val="minor"/>
    </font>
    <font>
      <b/>
      <sz val="11"/>
      <color rgb="FFC00000"/>
      <name val="Calibri"/>
      <family val="2"/>
      <scheme val="minor"/>
    </font>
    <font>
      <sz val="8"/>
      <color rgb="FFFF0000"/>
      <name val="Calibri"/>
      <family val="2"/>
      <scheme val="minor"/>
    </font>
    <font>
      <sz val="8"/>
      <color theme="1" tint="0.34998626667073579"/>
      <name val="Calibri"/>
      <family val="2"/>
      <scheme val="minor"/>
    </font>
    <font>
      <sz val="8"/>
      <color rgb="FF000000"/>
      <name val="Calibri"/>
      <family val="2"/>
      <scheme val="minor"/>
    </font>
    <font>
      <b/>
      <sz val="10"/>
      <color rgb="FF00B050"/>
      <name val="Calibri"/>
      <family val="2"/>
      <scheme val="minor"/>
    </font>
    <font>
      <b/>
      <sz val="11"/>
      <color rgb="FF00B050"/>
      <name val="Calibri"/>
      <family val="2"/>
      <scheme val="minor"/>
    </font>
    <font>
      <b/>
      <i/>
      <sz val="10"/>
      <color rgb="FF00B050"/>
      <name val="Calibri"/>
      <family val="2"/>
      <scheme val="minor"/>
    </font>
    <font>
      <sz val="10"/>
      <color rgb="FF00B050"/>
      <name val="Calibri"/>
      <family val="2"/>
      <scheme val="minor"/>
    </font>
    <font>
      <sz val="10"/>
      <color rgb="FFFF0000"/>
      <name val="Calibri"/>
      <family val="2"/>
      <scheme val="minor"/>
    </font>
    <font>
      <sz val="10"/>
      <color rgb="FF252525"/>
      <name val="Calibri"/>
      <family val="2"/>
      <scheme val="minor"/>
    </font>
    <font>
      <u/>
      <sz val="8"/>
      <color theme="1"/>
      <name val="Calibri"/>
      <family val="2"/>
      <scheme val="minor"/>
    </font>
    <font>
      <b/>
      <sz val="10"/>
      <color theme="1"/>
      <name val="NewsGotT"/>
    </font>
    <font>
      <sz val="10"/>
      <color rgb="FF252525"/>
      <name val="NewsGotT"/>
    </font>
  </fonts>
  <fills count="23">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66"/>
        <bgColor indexed="64"/>
      </patternFill>
    </fill>
    <fill>
      <patternFill patternType="solid">
        <fgColor theme="6" tint="-0.499984740745262"/>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2"/>
        <bgColor indexed="64"/>
      </patternFill>
    </fill>
    <fill>
      <patternFill patternType="solid">
        <fgColor theme="1"/>
        <bgColor indexed="64"/>
      </patternFill>
    </fill>
    <fill>
      <patternFill patternType="solid">
        <fgColor theme="2" tint="-0.499984740745262"/>
        <bgColor indexed="64"/>
      </patternFill>
    </fill>
    <fill>
      <patternFill patternType="solid">
        <fgColor theme="5" tint="-0.499984740745262"/>
        <bgColor indexed="64"/>
      </patternFill>
    </fill>
    <fill>
      <patternFill patternType="solid">
        <fgColor theme="7" tint="-0.249977111117893"/>
        <bgColor indexed="64"/>
      </patternFill>
    </fill>
    <fill>
      <patternFill patternType="solid">
        <fgColor theme="6"/>
        <bgColor indexed="64"/>
      </patternFill>
    </fill>
    <fill>
      <patternFill patternType="solid">
        <fgColor rgb="FFF4FECE"/>
        <bgColor indexed="64"/>
      </patternFill>
    </fill>
    <fill>
      <patternFill patternType="solid">
        <fgColor rgb="FF99CC00"/>
        <bgColor indexed="64"/>
      </patternFill>
    </fill>
  </fills>
  <borders count="193">
    <border>
      <left/>
      <right/>
      <top/>
      <bottom/>
      <diagonal/>
    </border>
    <border>
      <left style="thin">
        <color theme="0"/>
      </left>
      <right style="thin">
        <color theme="0"/>
      </right>
      <top style="thin">
        <color theme="0"/>
      </top>
      <bottom style="thin">
        <color theme="0"/>
      </bottom>
      <diagonal/>
    </border>
    <border>
      <left style="thin">
        <color theme="0"/>
      </left>
      <right style="medium">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style="thin">
        <color theme="0"/>
      </left>
      <right/>
      <top style="thin">
        <color theme="0"/>
      </top>
      <bottom/>
      <diagonal/>
    </border>
    <border>
      <left/>
      <right style="medium">
        <color theme="0"/>
      </right>
      <top style="thin">
        <color theme="0"/>
      </top>
      <bottom/>
      <diagonal/>
    </border>
    <border>
      <left/>
      <right/>
      <top style="medium">
        <color theme="0"/>
      </top>
      <bottom style="medium">
        <color theme="0"/>
      </bottom>
      <diagonal/>
    </border>
    <border>
      <left/>
      <right style="medium">
        <color theme="0"/>
      </right>
      <top/>
      <bottom/>
      <diagonal/>
    </border>
    <border>
      <left style="medium">
        <color theme="0"/>
      </left>
      <right/>
      <top style="medium">
        <color theme="0"/>
      </top>
      <bottom style="medium">
        <color theme="0"/>
      </bottom>
      <diagonal/>
    </border>
    <border>
      <left style="thick">
        <color rgb="FF00B050"/>
      </left>
      <right style="thick">
        <color rgb="FF00B050"/>
      </right>
      <top style="thick">
        <color rgb="FF00B050"/>
      </top>
      <bottom style="thick">
        <color rgb="FF00B050"/>
      </bottom>
      <diagonal/>
    </border>
    <border>
      <left style="thick">
        <color rgb="FF00B050"/>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right/>
      <top style="medium">
        <color theme="0"/>
      </top>
      <bottom/>
      <diagonal/>
    </border>
    <border>
      <left style="medium">
        <color theme="6" tint="0.59996337778862885"/>
      </left>
      <right style="medium">
        <color theme="6" tint="0.59996337778862885"/>
      </right>
      <top style="medium">
        <color theme="6" tint="0.59996337778862885"/>
      </top>
      <bottom style="medium">
        <color theme="6" tint="0.59996337778862885"/>
      </bottom>
      <diagonal/>
    </border>
    <border>
      <left/>
      <right/>
      <top/>
      <bottom style="thick">
        <color rgb="FF00B050"/>
      </bottom>
      <diagonal/>
    </border>
    <border>
      <left/>
      <right style="thick">
        <color rgb="FF00B050"/>
      </right>
      <top/>
      <bottom style="thick">
        <color rgb="FF00B050"/>
      </bottom>
      <diagonal/>
    </border>
    <border>
      <left/>
      <right style="thick">
        <color rgb="FF00B050"/>
      </right>
      <top/>
      <bottom/>
      <diagonal/>
    </border>
    <border>
      <left style="thick">
        <color rgb="FF00B05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right/>
      <top style="thick">
        <color rgb="FF00B050"/>
      </top>
      <bottom/>
      <diagonal/>
    </border>
    <border>
      <left style="thick">
        <color rgb="FF00B050"/>
      </left>
      <right/>
      <top/>
      <bottom style="thick">
        <color rgb="FF00B050"/>
      </bottom>
      <diagonal/>
    </border>
    <border>
      <left style="medium">
        <color theme="0"/>
      </left>
      <right style="medium">
        <color theme="0"/>
      </right>
      <top style="medium">
        <color theme="0"/>
      </top>
      <bottom/>
      <diagonal/>
    </border>
    <border>
      <left/>
      <right style="medium">
        <color theme="6" tint="0.59996337778862885"/>
      </right>
      <top style="medium">
        <color theme="0"/>
      </top>
      <bottom style="medium">
        <color theme="0"/>
      </bottom>
      <diagonal/>
    </border>
    <border>
      <left/>
      <right/>
      <top/>
      <bottom style="medium">
        <color theme="6" tint="-0.24994659260841701"/>
      </bottom>
      <diagonal/>
    </border>
    <border>
      <left/>
      <right/>
      <top style="medium">
        <color theme="6" tint="-0.24994659260841701"/>
      </top>
      <bottom style="medium">
        <color theme="6" tint="-0.24994659260841701"/>
      </bottom>
      <diagonal/>
    </border>
    <border>
      <left/>
      <right/>
      <top/>
      <bottom style="medium">
        <color theme="0"/>
      </bottom>
      <diagonal/>
    </border>
    <border>
      <left style="medium">
        <color theme="6" tint="-0.24994659260841701"/>
      </left>
      <right style="medium">
        <color theme="6" tint="-0.24994659260841701"/>
      </right>
      <top/>
      <bottom style="medium">
        <color theme="6" tint="-0.24994659260841701"/>
      </bottom>
      <diagonal/>
    </border>
    <border>
      <left/>
      <right style="medium">
        <color theme="6" tint="0.59996337778862885"/>
      </right>
      <top/>
      <bottom/>
      <diagonal/>
    </border>
    <border>
      <left style="medium">
        <color theme="0"/>
      </left>
      <right/>
      <top/>
      <bottom/>
      <diagonal/>
    </border>
    <border>
      <left style="medium">
        <color theme="0"/>
      </left>
      <right style="medium">
        <color theme="0"/>
      </right>
      <top/>
      <bottom/>
      <diagonal/>
    </border>
    <border>
      <left style="thin">
        <color theme="0"/>
      </left>
      <right/>
      <top style="thin">
        <color theme="0"/>
      </top>
      <bottom style="thin">
        <color theme="0"/>
      </bottom>
      <diagonal/>
    </border>
    <border>
      <left style="medium">
        <color theme="0"/>
      </left>
      <right/>
      <top/>
      <bottom style="medium">
        <color theme="0"/>
      </bottom>
      <diagonal/>
    </border>
    <border>
      <left style="medium">
        <color theme="0"/>
      </left>
      <right/>
      <top style="medium">
        <color theme="0"/>
      </top>
      <bottom/>
      <diagonal/>
    </border>
    <border>
      <left style="medium">
        <color theme="6" tint="0.59996337778862885"/>
      </left>
      <right style="medium">
        <color theme="6" tint="0.59996337778862885"/>
      </right>
      <top/>
      <bottom style="medium">
        <color theme="6" tint="0.59996337778862885"/>
      </bottom>
      <diagonal/>
    </border>
    <border>
      <left style="medium">
        <color theme="6" tint="0.39994506668294322"/>
      </left>
      <right style="medium">
        <color theme="6" tint="0.39994506668294322"/>
      </right>
      <top/>
      <bottom style="medium">
        <color theme="6" tint="0.39994506668294322"/>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right style="medium">
        <color theme="6" tint="0.59996337778862885"/>
      </right>
      <top style="medium">
        <color theme="0"/>
      </top>
      <bottom/>
      <diagonal/>
    </border>
    <border>
      <left/>
      <right style="medium">
        <color theme="6" tint="0.59996337778862885"/>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rgb="FF000000"/>
      </left>
      <right style="thin">
        <color rgb="FF000000"/>
      </right>
      <top style="medium">
        <color indexed="64"/>
      </top>
      <bottom style="double">
        <color indexed="64"/>
      </bottom>
      <diagonal/>
    </border>
    <border>
      <left style="thin">
        <color rgb="FF000000"/>
      </left>
      <right style="medium">
        <color indexed="64"/>
      </right>
      <top style="medium">
        <color indexed="64"/>
      </top>
      <bottom style="double">
        <color indexed="64"/>
      </bottom>
      <diagonal/>
    </border>
    <border>
      <left style="thin">
        <color rgb="FF000000"/>
      </left>
      <right/>
      <top style="double">
        <color indexed="64"/>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6" tint="0.59996337778862885"/>
      </left>
      <right/>
      <top style="medium">
        <color theme="6" tint="0.59996337778862885"/>
      </top>
      <bottom style="medium">
        <color theme="6" tint="0.59996337778862885"/>
      </bottom>
      <diagonal/>
    </border>
    <border>
      <left/>
      <right style="medium">
        <color theme="6" tint="0.59996337778862885"/>
      </right>
      <top style="medium">
        <color theme="6" tint="0.59996337778862885"/>
      </top>
      <bottom style="medium">
        <color theme="6" tint="0.59996337778862885"/>
      </bottom>
      <diagonal/>
    </border>
    <border>
      <left/>
      <right style="medium">
        <color theme="6" tint="-0.24994659260841701"/>
      </right>
      <top/>
      <bottom/>
      <diagonal/>
    </border>
    <border>
      <left/>
      <right/>
      <top style="medium">
        <color theme="6" tint="0.59996337778862885"/>
      </top>
      <bottom style="medium">
        <color theme="6" tint="0.59996337778862885"/>
      </bottom>
      <diagonal/>
    </border>
    <border>
      <left style="medium">
        <color theme="0"/>
      </left>
      <right/>
      <top/>
      <bottom style="medium">
        <color theme="6" tint="0.59996337778862885"/>
      </bottom>
      <diagonal/>
    </border>
    <border>
      <left style="medium">
        <color theme="0"/>
      </left>
      <right/>
      <top style="medium">
        <color theme="9" tint="0.59996337778862885"/>
      </top>
      <bottom/>
      <diagonal/>
    </border>
    <border>
      <left/>
      <right/>
      <top style="medium">
        <color theme="9" tint="0.59996337778862885"/>
      </top>
      <bottom/>
      <diagonal/>
    </border>
    <border>
      <left/>
      <right/>
      <top/>
      <bottom style="medium">
        <color theme="6" tint="0.59996337778862885"/>
      </bottom>
      <diagonal/>
    </border>
    <border>
      <left style="medium">
        <color theme="0"/>
      </left>
      <right/>
      <top style="thin">
        <color theme="0"/>
      </top>
      <bottom style="medium">
        <color theme="6" tint="0.59996337778862885"/>
      </bottom>
      <diagonal/>
    </border>
    <border>
      <left/>
      <right/>
      <top style="thin">
        <color theme="0"/>
      </top>
      <bottom style="medium">
        <color theme="6" tint="0.59996337778862885"/>
      </bottom>
      <diagonal/>
    </border>
    <border>
      <left/>
      <right style="medium">
        <color indexed="64"/>
      </right>
      <top/>
      <bottom style="medium">
        <color theme="6" tint="-0.24994659260841701"/>
      </bottom>
      <diagonal/>
    </border>
    <border>
      <left style="medium">
        <color theme="6" tint="-0.24994659260841701"/>
      </left>
      <right style="medium">
        <color indexed="64"/>
      </right>
      <top style="medium">
        <color theme="6" tint="-0.24994659260841701"/>
      </top>
      <bottom style="medium">
        <color theme="6" tint="-0.24994659260841701"/>
      </bottom>
      <diagonal/>
    </border>
    <border>
      <left style="medium">
        <color theme="6" tint="0.59996337778862885"/>
      </left>
      <right style="medium">
        <color indexed="64"/>
      </right>
      <top style="medium">
        <color theme="6" tint="0.59996337778862885"/>
      </top>
      <bottom style="medium">
        <color theme="6" tint="0.59996337778862885"/>
      </bottom>
      <diagonal/>
    </border>
    <border>
      <left style="medium">
        <color theme="6" tint="0.59996337778862885"/>
      </left>
      <right/>
      <top style="medium">
        <color theme="6" tint="0.59996337778862885"/>
      </top>
      <bottom style="medium">
        <color indexed="64"/>
      </bottom>
      <diagonal/>
    </border>
    <border>
      <left/>
      <right/>
      <top style="medium">
        <color theme="6" tint="0.59996337778862885"/>
      </top>
      <bottom style="medium">
        <color indexed="64"/>
      </bottom>
      <diagonal/>
    </border>
    <border>
      <left/>
      <right style="medium">
        <color theme="6" tint="0.59996337778862885"/>
      </right>
      <top style="medium">
        <color theme="6" tint="0.59996337778862885"/>
      </top>
      <bottom style="medium">
        <color indexed="64"/>
      </bottom>
      <diagonal/>
    </border>
    <border>
      <left style="medium">
        <color theme="6" tint="0.59996337778862885"/>
      </left>
      <right style="medium">
        <color theme="6" tint="0.59996337778862885"/>
      </right>
      <top style="medium">
        <color theme="6" tint="0.59996337778862885"/>
      </top>
      <bottom style="medium">
        <color indexed="64"/>
      </bottom>
      <diagonal/>
    </border>
    <border>
      <left style="medium">
        <color theme="6" tint="0.59996337778862885"/>
      </left>
      <right style="medium">
        <color indexed="64"/>
      </right>
      <top style="medium">
        <color theme="6" tint="0.59996337778862885"/>
      </top>
      <bottom style="medium">
        <color indexed="64"/>
      </bottom>
      <diagonal/>
    </border>
    <border>
      <left/>
      <right/>
      <top style="medium">
        <color indexed="64"/>
      </top>
      <bottom style="medium">
        <color theme="6" tint="-0.24994659260841701"/>
      </bottom>
      <diagonal/>
    </border>
    <border>
      <left/>
      <right style="medium">
        <color indexed="64"/>
      </right>
      <top style="medium">
        <color indexed="64"/>
      </top>
      <bottom style="medium">
        <color theme="6" tint="-0.24994659260841701"/>
      </bottom>
      <diagonal/>
    </border>
    <border>
      <left style="medium">
        <color indexed="64"/>
      </left>
      <right/>
      <top style="medium">
        <color theme="0"/>
      </top>
      <bottom style="medium">
        <color theme="0"/>
      </bottom>
      <diagonal/>
    </border>
    <border>
      <left/>
      <right style="medium">
        <color indexed="64"/>
      </right>
      <top style="medium">
        <color theme="9" tint="0.59996337778862885"/>
      </top>
      <bottom/>
      <diagonal/>
    </border>
    <border>
      <left/>
      <right style="medium">
        <color indexed="64"/>
      </right>
      <top style="thin">
        <color theme="0"/>
      </top>
      <bottom style="medium">
        <color theme="6" tint="0.59996337778862885"/>
      </bottom>
      <diagonal/>
    </border>
    <border>
      <left/>
      <right style="medium">
        <color indexed="64"/>
      </right>
      <top style="medium">
        <color theme="6" tint="0.59996337778862885"/>
      </top>
      <bottom style="medium">
        <color theme="6" tint="0.59996337778862885"/>
      </bottom>
      <diagonal/>
    </border>
    <border>
      <left/>
      <right style="medium">
        <color indexed="64"/>
      </right>
      <top/>
      <bottom style="medium">
        <color theme="6" tint="0.59996337778862885"/>
      </bottom>
      <diagonal/>
    </border>
    <border>
      <left style="medium">
        <color theme="0"/>
      </left>
      <right/>
      <top style="medium">
        <color theme="0"/>
      </top>
      <bottom style="medium">
        <color indexed="64"/>
      </bottom>
      <diagonal/>
    </border>
    <border>
      <left/>
      <right style="medium">
        <color theme="6" tint="0.59996337778862885"/>
      </right>
      <top style="medium">
        <color theme="0"/>
      </top>
      <bottom style="medium">
        <color indexed="64"/>
      </bottom>
      <diagonal/>
    </border>
    <border>
      <left style="medium">
        <color theme="0"/>
      </left>
      <right style="medium">
        <color indexed="64"/>
      </right>
      <top style="medium">
        <color theme="0"/>
      </top>
      <bottom style="medium">
        <color theme="0"/>
      </bottom>
      <diagonal/>
    </border>
    <border>
      <left style="medium">
        <color theme="0"/>
      </left>
      <right style="medium">
        <color indexed="64"/>
      </right>
      <top style="medium">
        <color theme="0"/>
      </top>
      <bottom style="medium">
        <color indexed="64"/>
      </bottom>
      <diagonal/>
    </border>
    <border>
      <left style="medium">
        <color theme="0"/>
      </left>
      <right style="medium">
        <color indexed="64"/>
      </right>
      <top style="medium">
        <color indexed="64"/>
      </top>
      <bottom style="medium">
        <color theme="0"/>
      </bottom>
      <diagonal/>
    </border>
    <border>
      <left style="medium">
        <color theme="6" tint="0.39994506668294322"/>
      </left>
      <right style="medium">
        <color theme="6" tint="0.39994506668294322"/>
      </right>
      <top style="medium">
        <color theme="6" tint="0.39994506668294322"/>
      </top>
      <bottom style="medium">
        <color indexed="64"/>
      </bottom>
      <diagonal/>
    </border>
    <border>
      <left style="medium">
        <color theme="6" tint="0.39994506668294322"/>
      </left>
      <right style="medium">
        <color theme="6" tint="0.39994506668294322"/>
      </right>
      <top/>
      <bottom style="medium">
        <color indexed="64"/>
      </bottom>
      <diagonal/>
    </border>
    <border>
      <left/>
      <right/>
      <top style="medium">
        <color theme="0"/>
      </top>
      <bottom style="medium">
        <color indexed="64"/>
      </bottom>
      <diagonal/>
    </border>
    <border>
      <left style="medium">
        <color theme="6" tint="0.59996337778862885"/>
      </left>
      <right style="medium">
        <color theme="6" tint="0.59996337778862885"/>
      </right>
      <top/>
      <bottom style="medium">
        <color indexed="64"/>
      </bottom>
      <diagonal/>
    </border>
    <border>
      <left/>
      <right style="medium">
        <color indexed="64"/>
      </right>
      <top style="medium">
        <color theme="6" tint="-0.24994659260841701"/>
      </top>
      <bottom style="medium">
        <color theme="6" tint="-0.24994659260841701"/>
      </bottom>
      <diagonal/>
    </border>
    <border>
      <left style="medium">
        <color theme="0"/>
      </left>
      <right style="medium">
        <color indexed="64"/>
      </right>
      <top/>
      <bottom/>
      <diagonal/>
    </border>
    <border>
      <left style="medium">
        <color theme="0"/>
      </left>
      <right style="medium">
        <color indexed="64"/>
      </right>
      <top/>
      <bottom style="medium">
        <color theme="0"/>
      </bottom>
      <diagonal/>
    </border>
    <border>
      <left style="medium">
        <color theme="0"/>
      </left>
      <right style="medium">
        <color theme="0"/>
      </right>
      <top style="medium">
        <color theme="0"/>
      </top>
      <bottom style="medium">
        <color indexed="64"/>
      </bottom>
      <diagonal/>
    </border>
    <border>
      <left style="medium">
        <color theme="0"/>
      </left>
      <right style="medium">
        <color theme="0"/>
      </right>
      <top/>
      <bottom style="medium">
        <color indexed="64"/>
      </bottom>
      <diagonal/>
    </border>
    <border>
      <left style="medium">
        <color theme="0"/>
      </left>
      <right style="medium">
        <color indexed="64"/>
      </right>
      <top/>
      <bottom style="medium">
        <color indexed="64"/>
      </bottom>
      <diagonal/>
    </border>
    <border>
      <left style="medium">
        <color indexed="64"/>
      </left>
      <right/>
      <top/>
      <bottom style="medium">
        <color theme="0"/>
      </bottom>
      <diagonal/>
    </border>
    <border>
      <left style="medium">
        <color theme="6" tint="-0.24994659260841701"/>
      </left>
      <right style="medium">
        <color indexed="64"/>
      </right>
      <top/>
      <bottom style="medium">
        <color theme="6" tint="-0.24994659260841701"/>
      </bottom>
      <diagonal/>
    </border>
    <border>
      <left style="medium">
        <color indexed="64"/>
      </left>
      <right/>
      <top style="medium">
        <color theme="0"/>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ck">
        <color auto="1"/>
      </left>
      <right style="thick">
        <color auto="1"/>
      </right>
      <top style="thick">
        <color auto="1"/>
      </top>
      <bottom style="thick">
        <color auto="1"/>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indexed="64"/>
      </left>
      <right style="medium">
        <color theme="0"/>
      </right>
      <top/>
      <bottom style="medium">
        <color theme="0"/>
      </bottom>
      <diagonal/>
    </border>
    <border>
      <left style="medium">
        <color indexed="64"/>
      </left>
      <right style="medium">
        <color theme="0"/>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right/>
      <top style="thick">
        <color rgb="FF00B050"/>
      </top>
      <bottom style="medium">
        <color indexed="64"/>
      </bottom>
      <diagonal/>
    </border>
    <border>
      <left style="thick">
        <color rgb="FF00B050"/>
      </left>
      <right style="thick">
        <color rgb="FF00B050"/>
      </right>
      <top style="thick">
        <color auto="1"/>
      </top>
      <bottom style="thick">
        <color rgb="FF00B050"/>
      </bottom>
      <diagonal/>
    </border>
    <border>
      <left style="thick">
        <color rgb="FF00B050"/>
      </left>
      <right/>
      <top/>
      <bottom style="medium">
        <color indexed="64"/>
      </bottom>
      <diagonal/>
    </border>
    <border>
      <left/>
      <right style="thick">
        <color rgb="FF00B050"/>
      </right>
      <top/>
      <bottom style="medium">
        <color indexed="64"/>
      </bottom>
      <diagonal/>
    </border>
    <border>
      <left style="thick">
        <color rgb="FF00B050"/>
      </left>
      <right/>
      <top style="thick">
        <color rgb="FF00B050"/>
      </top>
      <bottom/>
      <diagonal/>
    </border>
    <border>
      <left/>
      <right style="thick">
        <color rgb="FF00B050"/>
      </right>
      <top style="thick">
        <color rgb="FF00B050"/>
      </top>
      <bottom/>
      <diagonal/>
    </border>
    <border>
      <left style="medium">
        <color indexed="64"/>
      </left>
      <right style="medium">
        <color rgb="FF00B050"/>
      </right>
      <top style="medium">
        <color indexed="64"/>
      </top>
      <bottom style="thick">
        <color rgb="FF00B050"/>
      </bottom>
      <diagonal/>
    </border>
    <border>
      <left style="medium">
        <color rgb="FF00B050"/>
      </left>
      <right style="medium">
        <color rgb="FF00B050"/>
      </right>
      <top style="medium">
        <color indexed="64"/>
      </top>
      <bottom style="thick">
        <color rgb="FF00B050"/>
      </bottom>
      <diagonal/>
    </border>
    <border>
      <left style="medium">
        <color rgb="FF00B050"/>
      </left>
      <right style="medium">
        <color indexed="64"/>
      </right>
      <top style="medium">
        <color indexed="64"/>
      </top>
      <bottom style="thick">
        <color rgb="FF00B050"/>
      </bottom>
      <diagonal/>
    </border>
    <border>
      <left style="thick">
        <color rgb="FF00B050"/>
      </left>
      <right style="thick">
        <color rgb="FF00B050"/>
      </right>
      <top style="thick">
        <color rgb="FF00B050"/>
      </top>
      <bottom/>
      <diagonal/>
    </border>
    <border>
      <left style="thick">
        <color auto="1"/>
      </left>
      <right/>
      <top/>
      <bottom/>
      <diagonal/>
    </border>
    <border>
      <left/>
      <right style="thick">
        <color auto="1"/>
      </right>
      <top/>
      <bottom/>
      <diagonal/>
    </border>
    <border>
      <left style="thick">
        <color rgb="FF00B050"/>
      </left>
      <right style="thick">
        <color auto="1"/>
      </right>
      <top style="thick">
        <color rgb="FF00B050"/>
      </top>
      <bottom style="thick">
        <color rgb="FF00B050"/>
      </bottom>
      <diagonal/>
    </border>
    <border>
      <left style="thick">
        <color auto="1"/>
      </left>
      <right/>
      <top/>
      <bottom style="thick">
        <color rgb="FF00B050"/>
      </bottom>
      <diagonal/>
    </border>
    <border>
      <left style="thick">
        <color auto="1"/>
      </left>
      <right/>
      <top style="thick">
        <color rgb="FF00B050"/>
      </top>
      <bottom style="medium">
        <color indexed="64"/>
      </bottom>
      <diagonal/>
    </border>
    <border>
      <left/>
      <right style="thick">
        <color auto="1"/>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theme="0"/>
      </right>
      <top/>
      <bottom/>
      <diagonal/>
    </border>
    <border>
      <left style="thin">
        <color rgb="FF000000"/>
      </left>
      <right style="thin">
        <color rgb="FF000000"/>
      </right>
      <top style="medium">
        <color indexed="64"/>
      </top>
      <bottom/>
      <diagonal/>
    </border>
    <border>
      <left style="thin">
        <color rgb="FF000000"/>
      </left>
      <right style="thin">
        <color rgb="FF000000"/>
      </right>
      <top/>
      <bottom style="thin">
        <color rgb="FF000000"/>
      </bottom>
      <diagonal/>
    </border>
    <border>
      <left style="thick">
        <color rgb="FF00B050"/>
      </left>
      <right/>
      <top style="thick">
        <color rgb="FF00B050"/>
      </top>
      <bottom style="medium">
        <color indexed="64"/>
      </bottom>
      <diagonal/>
    </border>
    <border>
      <left/>
      <right style="thick">
        <color rgb="FF00B050"/>
      </right>
      <top style="thick">
        <color rgb="FF00B050"/>
      </top>
      <bottom style="medium">
        <color indexed="64"/>
      </bottom>
      <diagonal/>
    </border>
    <border>
      <left style="thick">
        <color rgb="FF00B050"/>
      </left>
      <right/>
      <top style="medium">
        <color theme="0"/>
      </top>
      <bottom style="medium">
        <color theme="0"/>
      </bottom>
      <diagonal/>
    </border>
    <border>
      <left style="medium">
        <color theme="0"/>
      </left>
      <right style="medium">
        <color theme="1"/>
      </right>
      <top style="medium">
        <color theme="1"/>
      </top>
      <bottom style="medium">
        <color theme="0"/>
      </bottom>
      <diagonal/>
    </border>
    <border>
      <left style="medium">
        <color theme="0"/>
      </left>
      <right style="medium">
        <color theme="1"/>
      </right>
      <top/>
      <bottom style="medium">
        <color theme="0"/>
      </bottom>
      <diagonal/>
    </border>
    <border>
      <left/>
      <right style="medium">
        <color theme="1"/>
      </right>
      <top style="medium">
        <color theme="0"/>
      </top>
      <bottom style="medium">
        <color theme="0"/>
      </bottom>
      <diagonal/>
    </border>
    <border>
      <left style="medium">
        <color theme="0"/>
      </left>
      <right style="medium">
        <color theme="1"/>
      </right>
      <top style="medium">
        <color theme="0"/>
      </top>
      <bottom style="medium">
        <color theme="0"/>
      </bottom>
      <diagonal/>
    </border>
    <border>
      <left/>
      <right style="medium">
        <color theme="1"/>
      </right>
      <top/>
      <bottom/>
      <diagonal/>
    </border>
    <border>
      <left style="medium">
        <color theme="0"/>
      </left>
      <right style="medium">
        <color theme="1"/>
      </right>
      <top style="medium">
        <color theme="0"/>
      </top>
      <bottom style="medium">
        <color theme="1"/>
      </bottom>
      <diagonal/>
    </border>
    <border>
      <left/>
      <right style="medium">
        <color theme="0"/>
      </right>
      <top style="medium">
        <color theme="1"/>
      </top>
      <bottom style="medium">
        <color theme="0"/>
      </bottom>
      <diagonal/>
    </border>
    <border>
      <left/>
      <right style="medium">
        <color theme="0"/>
      </right>
      <top/>
      <bottom style="medium">
        <color theme="0"/>
      </bottom>
      <diagonal/>
    </border>
    <border>
      <left/>
      <right style="medium">
        <color theme="0"/>
      </right>
      <top style="medium">
        <color theme="0"/>
      </top>
      <bottom style="medium">
        <color theme="1"/>
      </bottom>
      <diagonal/>
    </border>
    <border>
      <left/>
      <right style="medium">
        <color indexed="64"/>
      </right>
      <top style="medium">
        <color theme="0"/>
      </top>
      <bottom style="medium">
        <color theme="0"/>
      </bottom>
      <diagonal/>
    </border>
    <border>
      <left/>
      <right style="thin">
        <color indexed="64"/>
      </right>
      <top style="thin">
        <color indexed="64"/>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indexed="64"/>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0" fontId="2" fillId="0" borderId="0"/>
    <xf numFmtId="0" fontId="3" fillId="0" borderId="0"/>
  </cellStyleXfs>
  <cellXfs count="793">
    <xf numFmtId="0" fontId="0" fillId="0" borderId="0" xfId="0"/>
    <xf numFmtId="0" fontId="4" fillId="3" borderId="0" xfId="0" applyFont="1" applyFill="1" applyAlignment="1">
      <alignment horizontal="left"/>
    </xf>
    <xf numFmtId="0" fontId="4" fillId="0" borderId="0" xfId="0" applyFont="1"/>
    <xf numFmtId="0" fontId="4" fillId="0" borderId="0" xfId="0" applyFont="1" applyAlignment="1">
      <alignment horizontal="left"/>
    </xf>
    <xf numFmtId="0" fontId="4" fillId="0" borderId="0" xfId="0" quotePrefix="1" applyFont="1"/>
    <xf numFmtId="0" fontId="4" fillId="3" borderId="0" xfId="0" applyFont="1" applyFill="1"/>
    <xf numFmtId="0" fontId="4" fillId="0" borderId="0" xfId="0" applyFont="1" applyAlignment="1">
      <alignment horizontal="right"/>
    </xf>
    <xf numFmtId="165" fontId="4" fillId="0" borderId="0" xfId="2" applyNumberFormat="1" applyFont="1"/>
    <xf numFmtId="0" fontId="5" fillId="0" borderId="0" xfId="0" applyFont="1" applyAlignment="1">
      <alignment horizontal="left"/>
    </xf>
    <xf numFmtId="0" fontId="5" fillId="0" borderId="0" xfId="0" applyFont="1"/>
    <xf numFmtId="165" fontId="5" fillId="0" borderId="0" xfId="0" applyNumberFormat="1" applyFont="1"/>
    <xf numFmtId="0" fontId="4" fillId="0" borderId="0" xfId="0" applyFont="1" applyAlignment="1">
      <alignment vertical="center"/>
    </xf>
    <xf numFmtId="14" fontId="4" fillId="0" borderId="0" xfId="0" applyNumberFormat="1" applyFont="1" applyAlignment="1">
      <alignment horizontal="left"/>
    </xf>
    <xf numFmtId="168" fontId="4" fillId="0" borderId="0" xfId="2" applyNumberFormat="1" applyFont="1" applyAlignment="1">
      <alignment horizontal="right"/>
    </xf>
    <xf numFmtId="0" fontId="4" fillId="0" borderId="0" xfId="0" quotePrefix="1" applyFont="1" applyAlignment="1">
      <alignment horizontal="left"/>
    </xf>
    <xf numFmtId="0" fontId="11" fillId="12" borderId="0" xfId="0" applyFont="1" applyFill="1"/>
    <xf numFmtId="0" fontId="12" fillId="16" borderId="149" xfId="0" applyFont="1" applyFill="1" applyBorder="1" applyAlignment="1">
      <alignment horizontal="right" wrapText="1"/>
    </xf>
    <xf numFmtId="0" fontId="0" fillId="0" borderId="0" xfId="0" applyFont="1"/>
    <xf numFmtId="0" fontId="11" fillId="12" borderId="0" xfId="0" applyFont="1" applyFill="1" applyAlignment="1">
      <alignment horizontal="left"/>
    </xf>
    <xf numFmtId="0" fontId="16" fillId="10" borderId="165" xfId="0" applyFont="1" applyFill="1" applyBorder="1" applyAlignment="1">
      <alignment horizontal="left"/>
    </xf>
    <xf numFmtId="0" fontId="14" fillId="10" borderId="166" xfId="0" applyFont="1" applyFill="1" applyBorder="1" applyAlignment="1">
      <alignment horizontal="left" wrapText="1"/>
    </xf>
    <xf numFmtId="0" fontId="14" fillId="10" borderId="0" xfId="0" applyFont="1" applyFill="1"/>
    <xf numFmtId="0" fontId="10" fillId="10" borderId="24" xfId="0" applyFont="1" applyFill="1" applyBorder="1"/>
    <xf numFmtId="0" fontId="16" fillId="10" borderId="11" xfId="0" applyFont="1" applyFill="1" applyBorder="1" applyAlignment="1">
      <alignment horizontal="right"/>
    </xf>
    <xf numFmtId="0" fontId="18" fillId="10" borderId="11" xfId="0" applyFont="1" applyFill="1" applyBorder="1"/>
    <xf numFmtId="0" fontId="19" fillId="10" borderId="11" xfId="0" applyFont="1" applyFill="1" applyBorder="1" applyAlignment="1">
      <alignment horizontal="center"/>
    </xf>
    <xf numFmtId="0" fontId="20" fillId="5" borderId="11" xfId="0" applyFont="1" applyFill="1" applyBorder="1" applyAlignment="1">
      <alignment horizontal="center"/>
    </xf>
    <xf numFmtId="14" fontId="17" fillId="6" borderId="11" xfId="0" applyNumberFormat="1" applyFont="1" applyFill="1" applyBorder="1" applyAlignment="1" applyProtection="1">
      <alignment horizontal="left" vertical="center" wrapText="1"/>
      <protection locked="0"/>
    </xf>
    <xf numFmtId="0" fontId="21" fillId="10" borderId="11" xfId="0" applyFont="1" applyFill="1" applyBorder="1" applyAlignment="1">
      <alignment horizontal="left" vertical="center"/>
    </xf>
    <xf numFmtId="0" fontId="22" fillId="10" borderId="11" xfId="0" applyFont="1" applyFill="1" applyBorder="1" applyAlignment="1">
      <alignment horizontal="center" vertical="top"/>
    </xf>
    <xf numFmtId="0" fontId="23" fillId="10" borderId="11" xfId="0" applyFont="1" applyFill="1" applyBorder="1" applyAlignment="1">
      <alignment vertical="top"/>
    </xf>
    <xf numFmtId="0" fontId="14" fillId="10" borderId="167" xfId="0" applyFont="1" applyFill="1" applyBorder="1" applyAlignment="1">
      <alignment horizontal="left" vertical="top" wrapText="1"/>
    </xf>
    <xf numFmtId="0" fontId="10" fillId="10" borderId="15" xfId="0" applyFont="1" applyFill="1" applyBorder="1" applyAlignment="1">
      <alignment horizontal="left" vertical="center" wrapText="1"/>
    </xf>
    <xf numFmtId="0" fontId="10" fillId="10" borderId="11" xfId="0" applyFont="1" applyFill="1" applyBorder="1" applyAlignment="1">
      <alignment horizontal="left" vertical="center" wrapText="1"/>
    </xf>
    <xf numFmtId="0" fontId="17" fillId="21" borderId="11" xfId="0" applyFont="1" applyFill="1" applyBorder="1" applyAlignment="1" applyProtection="1">
      <alignment horizontal="left" vertical="center" wrapText="1"/>
      <protection locked="0"/>
    </xf>
    <xf numFmtId="0" fontId="24" fillId="10" borderId="11" xfId="0" applyFont="1" applyFill="1" applyBorder="1" applyAlignment="1">
      <alignment horizontal="right" vertical="center"/>
    </xf>
    <xf numFmtId="0" fontId="17" fillId="6" borderId="11" xfId="0" applyFont="1" applyFill="1" applyBorder="1" applyAlignment="1" applyProtection="1">
      <alignment horizontal="left" vertical="center" wrapText="1"/>
      <protection locked="0"/>
    </xf>
    <xf numFmtId="0" fontId="14" fillId="10" borderId="0" xfId="0" applyFont="1" applyFill="1" applyAlignment="1">
      <alignment vertical="top"/>
    </xf>
    <xf numFmtId="0" fontId="14" fillId="10" borderId="24" xfId="0" applyFont="1" applyFill="1" applyBorder="1" applyAlignment="1">
      <alignment vertical="top"/>
    </xf>
    <xf numFmtId="0" fontId="25" fillId="6" borderId="11" xfId="0" applyFont="1" applyFill="1" applyBorder="1" applyAlignment="1" applyProtection="1">
      <alignment horizontal="left"/>
      <protection locked="0"/>
    </xf>
    <xf numFmtId="0" fontId="14" fillId="10" borderId="11" xfId="0" applyFont="1" applyFill="1" applyBorder="1" applyAlignment="1">
      <alignment vertical="center" wrapText="1"/>
    </xf>
    <xf numFmtId="0" fontId="24" fillId="10" borderId="11" xfId="0" applyFont="1" applyFill="1" applyBorder="1" applyAlignment="1">
      <alignment horizontal="right"/>
    </xf>
    <xf numFmtId="0" fontId="16" fillId="10" borderId="25" xfId="0" applyFont="1" applyFill="1" applyBorder="1"/>
    <xf numFmtId="0" fontId="10" fillId="10" borderId="15" xfId="0" applyFont="1" applyFill="1" applyBorder="1" applyAlignment="1">
      <alignment vertical="center" wrapText="1"/>
    </xf>
    <xf numFmtId="0" fontId="10" fillId="10" borderId="11" xfId="0" applyFont="1" applyFill="1" applyBorder="1" applyAlignment="1">
      <alignment vertical="center" wrapText="1"/>
    </xf>
    <xf numFmtId="2" fontId="26" fillId="6" borderId="11" xfId="0" applyNumberFormat="1" applyFont="1" applyFill="1" applyBorder="1" applyAlignment="1" applyProtection="1">
      <alignment horizontal="center" vertical="center" wrapText="1"/>
      <protection locked="0"/>
    </xf>
    <xf numFmtId="0" fontId="16" fillId="10" borderId="168" xfId="0" applyFont="1" applyFill="1" applyBorder="1" applyAlignment="1">
      <alignment horizontal="left"/>
    </xf>
    <xf numFmtId="166" fontId="28" fillId="5" borderId="11" xfId="0" applyNumberFormat="1" applyFont="1" applyFill="1" applyBorder="1" applyAlignment="1">
      <alignment horizontal="center" vertical="center" wrapText="1"/>
    </xf>
    <xf numFmtId="165" fontId="24" fillId="10" borderId="11" xfId="2" applyNumberFormat="1" applyFont="1" applyFill="1" applyBorder="1" applyAlignment="1">
      <alignment vertical="center"/>
    </xf>
    <xf numFmtId="0" fontId="29" fillId="10" borderId="11" xfId="0" applyFont="1" applyFill="1" applyBorder="1" applyAlignment="1">
      <alignment horizontal="center" vertical="center"/>
    </xf>
    <xf numFmtId="0" fontId="30" fillId="10" borderId="11" xfId="0" applyFont="1" applyFill="1" applyBorder="1" applyAlignment="1">
      <alignment horizontal="center" vertical="center"/>
    </xf>
    <xf numFmtId="0" fontId="14" fillId="10" borderId="166" xfId="0" applyFont="1" applyFill="1" applyBorder="1" applyAlignment="1">
      <alignment horizontal="left" vertical="top" wrapText="1"/>
    </xf>
    <xf numFmtId="0" fontId="14" fillId="10" borderId="22" xfId="0" applyFont="1" applyFill="1" applyBorder="1" applyAlignment="1">
      <alignment vertical="top"/>
    </xf>
    <xf numFmtId="0" fontId="11" fillId="12" borderId="10" xfId="0" applyFont="1" applyFill="1" applyBorder="1" applyAlignment="1">
      <alignment horizontal="left" vertical="center" wrapText="1"/>
    </xf>
    <xf numFmtId="0" fontId="16" fillId="10" borderId="169" xfId="0" applyFont="1" applyFill="1" applyBorder="1" applyAlignment="1">
      <alignment horizontal="center"/>
    </xf>
    <xf numFmtId="0" fontId="16" fillId="10" borderId="155" xfId="0" applyFont="1" applyFill="1" applyBorder="1" applyAlignment="1">
      <alignment horizontal="center"/>
    </xf>
    <xf numFmtId="0" fontId="16" fillId="10" borderId="170" xfId="0" applyFont="1" applyFill="1" applyBorder="1" applyAlignment="1">
      <alignment horizontal="left" wrapText="1"/>
    </xf>
    <xf numFmtId="0" fontId="16" fillId="10" borderId="0" xfId="0" applyFont="1" applyFill="1" applyAlignment="1">
      <alignment horizontal="left" wrapText="1"/>
    </xf>
    <xf numFmtId="0" fontId="0" fillId="6" borderId="0" xfId="0" applyFont="1" applyFill="1"/>
    <xf numFmtId="0" fontId="24" fillId="12" borderId="150" xfId="0" applyFont="1" applyFill="1" applyBorder="1" applyAlignment="1">
      <alignment horizontal="left" vertical="center" wrapText="1"/>
    </xf>
    <xf numFmtId="0" fontId="24" fillId="12" borderId="151" xfId="0" applyFont="1" applyFill="1" applyBorder="1" applyAlignment="1">
      <alignment horizontal="left" vertical="center" wrapText="1"/>
    </xf>
    <xf numFmtId="0" fontId="24" fillId="12" borderId="151" xfId="0" applyFont="1" applyFill="1" applyBorder="1" applyAlignment="1">
      <alignment horizontal="center" vertical="center" wrapText="1"/>
    </xf>
    <xf numFmtId="0" fontId="24" fillId="12" borderId="151" xfId="0" applyFont="1" applyFill="1" applyBorder="1" applyAlignment="1">
      <alignment vertical="center" wrapText="1"/>
    </xf>
    <xf numFmtId="0" fontId="24" fillId="12" borderId="133" xfId="0" applyFont="1" applyFill="1" applyBorder="1" applyAlignment="1">
      <alignment horizontal="center" vertical="center" wrapText="1"/>
    </xf>
    <xf numFmtId="0" fontId="26" fillId="0" borderId="0" xfId="0" applyFont="1"/>
    <xf numFmtId="0" fontId="11" fillId="12" borderId="49" xfId="0" applyFont="1" applyFill="1" applyBorder="1" applyAlignment="1">
      <alignment horizontal="left" vertical="center" wrapText="1"/>
    </xf>
    <xf numFmtId="0" fontId="31" fillId="9" borderId="152" xfId="0" applyFont="1" applyFill="1" applyBorder="1" applyAlignment="1">
      <alignment horizontal="left" vertical="center" wrapText="1"/>
    </xf>
    <xf numFmtId="0" fontId="31" fillId="9" borderId="4" xfId="0" applyFont="1" applyFill="1" applyBorder="1" applyAlignment="1">
      <alignment horizontal="left" vertical="center" wrapText="1"/>
    </xf>
    <xf numFmtId="0" fontId="31" fillId="9" borderId="4" xfId="0" applyFont="1" applyFill="1" applyBorder="1" applyAlignment="1">
      <alignment horizontal="center" vertical="center" wrapText="1"/>
    </xf>
    <xf numFmtId="0" fontId="29" fillId="9" borderId="4" xfId="0" applyFont="1" applyFill="1" applyBorder="1" applyAlignment="1">
      <alignment vertical="center" wrapText="1"/>
    </xf>
    <xf numFmtId="0" fontId="8" fillId="9" borderId="4" xfId="0" applyFont="1" applyFill="1" applyBorder="1"/>
    <xf numFmtId="0" fontId="4" fillId="9" borderId="3" xfId="0" applyFont="1" applyFill="1" applyBorder="1" applyAlignment="1">
      <alignment horizontal="center" vertical="center" wrapText="1"/>
    </xf>
    <xf numFmtId="4" fontId="31" fillId="9" borderId="3" xfId="0" applyNumberFormat="1" applyFont="1" applyFill="1" applyBorder="1" applyAlignment="1">
      <alignment horizontal="right" vertical="center" wrapText="1"/>
    </xf>
    <xf numFmtId="0" fontId="16" fillId="9" borderId="140" xfId="0" applyFont="1" applyFill="1" applyBorder="1" applyAlignment="1">
      <alignment horizontal="left" vertical="center" wrapText="1"/>
    </xf>
    <xf numFmtId="0" fontId="9" fillId="4" borderId="124" xfId="0" applyFont="1" applyFill="1" applyBorder="1" applyAlignment="1">
      <alignment horizontal="left" vertical="center"/>
    </xf>
    <xf numFmtId="0" fontId="9" fillId="4" borderId="8" xfId="0" applyFont="1" applyFill="1" applyBorder="1" applyAlignment="1">
      <alignment horizontal="center" vertical="center" wrapText="1"/>
    </xf>
    <xf numFmtId="0" fontId="32" fillId="4" borderId="8" xfId="0" applyFont="1" applyFill="1" applyBorder="1" applyAlignment="1">
      <alignment vertical="center" wrapText="1"/>
    </xf>
    <xf numFmtId="0" fontId="9" fillId="4" borderId="8" xfId="0" applyFont="1" applyFill="1" applyBorder="1" applyAlignment="1">
      <alignment vertical="center" wrapText="1"/>
    </xf>
    <xf numFmtId="0" fontId="0" fillId="4" borderId="8" xfId="0" applyFont="1" applyFill="1" applyBorder="1" applyAlignment="1">
      <alignment horizontal="center" vertical="center" wrapText="1"/>
    </xf>
    <xf numFmtId="4" fontId="24" fillId="4" borderId="8" xfId="0" applyNumberFormat="1" applyFont="1" applyFill="1" applyBorder="1" applyAlignment="1">
      <alignment vertical="center"/>
    </xf>
    <xf numFmtId="4" fontId="9" fillId="4" borderId="8" xfId="0" applyNumberFormat="1" applyFont="1" applyFill="1" applyBorder="1" applyAlignment="1">
      <alignment vertical="center"/>
    </xf>
    <xf numFmtId="0" fontId="4" fillId="2" borderId="15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0" fillId="2" borderId="3" xfId="0" applyFont="1" applyFill="1" applyBorder="1" applyAlignment="1">
      <alignment horizontal="center" vertical="center" wrapText="1"/>
    </xf>
    <xf numFmtId="0" fontId="32" fillId="2" borderId="3" xfId="0" applyFont="1" applyFill="1" applyBorder="1" applyAlignment="1">
      <alignment vertical="center" wrapText="1"/>
    </xf>
    <xf numFmtId="0" fontId="0" fillId="2" borderId="10" xfId="0" applyFont="1" applyFill="1" applyBorder="1" applyAlignment="1">
      <alignment vertical="center" wrapText="1"/>
    </xf>
    <xf numFmtId="2" fontId="4" fillId="2" borderId="3" xfId="0" applyNumberFormat="1" applyFont="1" applyFill="1" applyBorder="1" applyAlignment="1">
      <alignment horizontal="center" vertical="center" wrapText="1"/>
    </xf>
    <xf numFmtId="2" fontId="9" fillId="5" borderId="21" xfId="0" applyNumberFormat="1" applyFont="1" applyFill="1" applyBorder="1" applyAlignment="1">
      <alignment horizontal="right" vertical="center" wrapText="1"/>
    </xf>
    <xf numFmtId="2" fontId="10" fillId="6" borderId="116" xfId="0" applyNumberFormat="1" applyFont="1" applyFill="1" applyBorder="1" applyAlignment="1" applyProtection="1">
      <alignment horizontal="left" vertical="center" wrapText="1"/>
      <protection locked="0"/>
    </xf>
    <xf numFmtId="0" fontId="4" fillId="7" borderId="153" xfId="0" applyFont="1" applyFill="1" applyBorder="1" applyAlignment="1">
      <alignment horizontal="left" vertical="center" wrapText="1"/>
    </xf>
    <xf numFmtId="0" fontId="9" fillId="7" borderId="3" xfId="0" applyFont="1" applyFill="1" applyBorder="1" applyAlignment="1">
      <alignment horizontal="left" vertical="center" wrapText="1"/>
    </xf>
    <xf numFmtId="0" fontId="0" fillId="7" borderId="3" xfId="0" applyFont="1" applyFill="1" applyBorder="1" applyAlignment="1">
      <alignment horizontal="center" vertical="center" wrapText="1"/>
    </xf>
    <xf numFmtId="0" fontId="32" fillId="7" borderId="3" xfId="0" applyFont="1" applyFill="1" applyBorder="1" applyAlignment="1">
      <alignment vertical="center" wrapText="1"/>
    </xf>
    <xf numFmtId="0" fontId="0" fillId="7" borderId="10" xfId="0" applyFont="1" applyFill="1" applyBorder="1" applyAlignment="1">
      <alignment vertical="center" wrapText="1"/>
    </xf>
    <xf numFmtId="2" fontId="4" fillId="7" borderId="3" xfId="0" applyNumberFormat="1" applyFont="1" applyFill="1" applyBorder="1" applyAlignment="1">
      <alignment horizontal="center" vertical="center" wrapText="1"/>
    </xf>
    <xf numFmtId="2" fontId="9" fillId="11" borderId="21" xfId="0" applyNumberFormat="1" applyFont="1" applyFill="1" applyBorder="1" applyAlignment="1">
      <alignment horizontal="right" vertical="center" wrapText="1"/>
    </xf>
    <xf numFmtId="0" fontId="9" fillId="0" borderId="0" xfId="0" applyFont="1"/>
    <xf numFmtId="0" fontId="0" fillId="2" borderId="3" xfId="0" applyFont="1" applyFill="1" applyBorder="1" applyAlignment="1">
      <alignment vertical="center" wrapText="1"/>
    </xf>
    <xf numFmtId="0" fontId="0" fillId="7" borderId="3" xfId="0" applyFont="1" applyFill="1" applyBorder="1" applyAlignment="1">
      <alignment vertical="center" wrapText="1"/>
    </xf>
    <xf numFmtId="169" fontId="0" fillId="4" borderId="8" xfId="2" applyNumberFormat="1" applyFont="1" applyFill="1" applyBorder="1" applyAlignment="1">
      <alignment horizontal="right" vertical="center" wrapText="1"/>
    </xf>
    <xf numFmtId="0" fontId="4" fillId="2" borderId="15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0" fillId="2" borderId="4" xfId="0" applyFont="1" applyFill="1" applyBorder="1" applyAlignment="1">
      <alignment horizontal="center" vertical="center" wrapText="1"/>
    </xf>
    <xf numFmtId="0" fontId="32" fillId="2" borderId="4" xfId="0" applyFont="1" applyFill="1" applyBorder="1" applyAlignment="1">
      <alignment vertical="center" wrapText="1"/>
    </xf>
    <xf numFmtId="0" fontId="25" fillId="2" borderId="4" xfId="0" applyFont="1" applyFill="1" applyBorder="1" applyAlignment="1">
      <alignment horizontal="center" vertical="center" wrapText="1"/>
    </xf>
    <xf numFmtId="0" fontId="10" fillId="2" borderId="140" xfId="0" applyFont="1" applyFill="1" applyBorder="1" applyAlignment="1">
      <alignment horizontal="left" vertical="center" wrapText="1"/>
    </xf>
    <xf numFmtId="0" fontId="25" fillId="7" borderId="3" xfId="0" applyFont="1" applyFill="1" applyBorder="1" applyAlignment="1">
      <alignment horizontal="center" vertical="center" wrapText="1"/>
    </xf>
    <xf numFmtId="0" fontId="10" fillId="7" borderId="131" xfId="0" applyFont="1" applyFill="1" applyBorder="1" applyAlignment="1">
      <alignment horizontal="left" vertical="center" wrapText="1"/>
    </xf>
    <xf numFmtId="0" fontId="25" fillId="2" borderId="3" xfId="0" applyFont="1" applyFill="1" applyBorder="1" applyAlignment="1">
      <alignment horizontal="center" vertical="center" wrapText="1"/>
    </xf>
    <xf numFmtId="0" fontId="10" fillId="2" borderId="131" xfId="0" applyFont="1" applyFill="1" applyBorder="1" applyAlignment="1">
      <alignment horizontal="left" vertical="center" wrapText="1"/>
    </xf>
    <xf numFmtId="0" fontId="31" fillId="9" borderId="174" xfId="0" applyFont="1" applyFill="1" applyBorder="1" applyAlignment="1">
      <alignment horizontal="left" vertical="center" wrapText="1"/>
    </xf>
    <xf numFmtId="0" fontId="31" fillId="9" borderId="47" xfId="0" applyFont="1" applyFill="1" applyBorder="1" applyAlignment="1">
      <alignment horizontal="left" vertical="center" wrapText="1"/>
    </xf>
    <xf numFmtId="0" fontId="31" fillId="9" borderId="15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9" borderId="3" xfId="0" applyFont="1" applyFill="1" applyBorder="1" applyAlignment="1">
      <alignment horizontal="center" vertical="center" wrapText="1"/>
    </xf>
    <xf numFmtId="0" fontId="29" fillId="9" borderId="3" xfId="0" applyFont="1" applyFill="1" applyBorder="1" applyAlignment="1">
      <alignment vertical="center" wrapText="1"/>
    </xf>
    <xf numFmtId="0" fontId="8" fillId="9" borderId="3" xfId="0" applyFont="1" applyFill="1" applyBorder="1"/>
    <xf numFmtId="2" fontId="33" fillId="13" borderId="19" xfId="0" applyNumberFormat="1" applyFont="1" applyFill="1" applyBorder="1" applyAlignment="1">
      <alignment vertical="center" wrapText="1"/>
    </xf>
    <xf numFmtId="0" fontId="16" fillId="9" borderId="131" xfId="0" applyFont="1" applyFill="1" applyBorder="1" applyAlignment="1">
      <alignment horizontal="left" vertical="center" wrapText="1"/>
    </xf>
    <xf numFmtId="0" fontId="8" fillId="9" borderId="4" xfId="0" applyFont="1" applyFill="1" applyBorder="1" applyAlignment="1">
      <alignment vertical="center"/>
    </xf>
    <xf numFmtId="164" fontId="10" fillId="2" borderId="131" xfId="2" applyFont="1" applyFill="1" applyBorder="1" applyAlignment="1" applyProtection="1">
      <alignment horizontal="left" vertical="center" wrapText="1"/>
      <protection locked="0"/>
    </xf>
    <xf numFmtId="0" fontId="10" fillId="7" borderId="131" xfId="0" applyFont="1" applyFill="1" applyBorder="1" applyAlignment="1" applyProtection="1">
      <alignment horizontal="left" vertical="center" wrapText="1"/>
      <protection locked="0"/>
    </xf>
    <xf numFmtId="0" fontId="10" fillId="2" borderId="131" xfId="0" applyFont="1" applyFill="1" applyBorder="1" applyAlignment="1" applyProtection="1">
      <alignment horizontal="left" vertical="center" wrapText="1"/>
      <protection locked="0"/>
    </xf>
    <xf numFmtId="0" fontId="9" fillId="3" borderId="8" xfId="0" applyFont="1" applyFill="1" applyBorder="1" applyAlignment="1">
      <alignment horizontal="center" vertical="center" wrapText="1"/>
    </xf>
    <xf numFmtId="0" fontId="34" fillId="3" borderId="8" xfId="0" applyFont="1" applyFill="1" applyBorder="1" applyAlignment="1">
      <alignment vertical="center" wrapText="1"/>
    </xf>
    <xf numFmtId="0" fontId="9" fillId="3" borderId="8" xfId="0" applyFont="1" applyFill="1" applyBorder="1" applyAlignment="1">
      <alignment vertical="center" wrapText="1"/>
    </xf>
    <xf numFmtId="0" fontId="34" fillId="3" borderId="8" xfId="0" applyFont="1" applyFill="1" applyBorder="1" applyAlignment="1">
      <alignment horizontal="center" vertical="center" wrapText="1"/>
    </xf>
    <xf numFmtId="2" fontId="9" fillId="3" borderId="19" xfId="0" applyNumberFormat="1" applyFont="1" applyFill="1" applyBorder="1" applyAlignment="1">
      <alignment vertical="center" wrapText="1"/>
    </xf>
    <xf numFmtId="2" fontId="32" fillId="3" borderId="30" xfId="0" applyNumberFormat="1" applyFont="1" applyFill="1" applyBorder="1" applyAlignment="1">
      <alignment horizontal="left" vertical="center" wrapText="1"/>
    </xf>
    <xf numFmtId="0" fontId="9" fillId="4" borderId="29" xfId="0" applyFont="1" applyFill="1" applyBorder="1" applyAlignment="1">
      <alignment horizontal="left" vertical="center"/>
    </xf>
    <xf numFmtId="0" fontId="9" fillId="4" borderId="9" xfId="0" applyFont="1" applyFill="1" applyBorder="1" applyAlignment="1">
      <alignment horizontal="left" vertical="center" wrapText="1"/>
    </xf>
    <xf numFmtId="0" fontId="32" fillId="4" borderId="30" xfId="0" applyFont="1" applyFill="1" applyBorder="1" applyAlignment="1">
      <alignment horizontal="left" vertical="center" wrapText="1"/>
    </xf>
    <xf numFmtId="0" fontId="36" fillId="2" borderId="153" xfId="0" applyFont="1" applyFill="1" applyBorder="1" applyAlignment="1">
      <alignment horizontal="left" vertical="center" wrapText="1"/>
    </xf>
    <xf numFmtId="0" fontId="0"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37" fillId="7" borderId="153" xfId="0" applyFont="1" applyFill="1" applyBorder="1" applyAlignment="1">
      <alignment horizontal="left" vertical="center" wrapText="1"/>
    </xf>
    <xf numFmtId="0" fontId="0" fillId="7" borderId="3" xfId="0" applyFont="1" applyFill="1" applyBorder="1" applyAlignment="1">
      <alignment horizontal="left" vertical="center" wrapText="1"/>
    </xf>
    <xf numFmtId="0" fontId="4" fillId="7"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9" fillId="4" borderId="8" xfId="0" applyFont="1" applyFill="1" applyBorder="1" applyAlignment="1">
      <alignment horizontal="left" vertical="center"/>
    </xf>
    <xf numFmtId="2" fontId="0" fillId="0" borderId="0" xfId="0" applyNumberFormat="1" applyFont="1"/>
    <xf numFmtId="9" fontId="0" fillId="2" borderId="3" xfId="1" applyFont="1" applyFill="1" applyBorder="1" applyAlignment="1">
      <alignment vertical="center" wrapText="1"/>
    </xf>
    <xf numFmtId="9" fontId="0" fillId="7" borderId="3" xfId="1" applyFont="1" applyFill="1" applyBorder="1" applyAlignment="1">
      <alignment vertical="center" wrapText="1"/>
    </xf>
    <xf numFmtId="0" fontId="32" fillId="3" borderId="8" xfId="0" applyFont="1" applyFill="1" applyBorder="1" applyAlignment="1">
      <alignment vertical="center" wrapText="1"/>
    </xf>
    <xf numFmtId="0" fontId="32" fillId="3" borderId="8" xfId="0" applyFont="1" applyFill="1" applyBorder="1" applyAlignment="1">
      <alignment horizontal="center" vertical="center" wrapText="1"/>
    </xf>
    <xf numFmtId="164" fontId="10" fillId="2" borderId="131" xfId="2" applyFont="1" applyFill="1" applyBorder="1" applyAlignment="1">
      <alignment horizontal="left" vertical="center" wrapText="1"/>
    </xf>
    <xf numFmtId="0" fontId="4" fillId="2" borderId="154" xfId="0" applyFont="1" applyFill="1" applyBorder="1" applyAlignment="1">
      <alignment horizontal="left" vertical="center" wrapText="1"/>
    </xf>
    <xf numFmtId="0" fontId="9" fillId="2" borderId="141" xfId="0" applyFont="1" applyFill="1" applyBorder="1" applyAlignment="1">
      <alignment horizontal="left" vertical="center" wrapText="1"/>
    </xf>
    <xf numFmtId="0" fontId="0" fillId="2" borderId="141" xfId="0" applyFont="1" applyFill="1" applyBorder="1" applyAlignment="1">
      <alignment horizontal="center" vertical="center" wrapText="1"/>
    </xf>
    <xf numFmtId="0" fontId="32" fillId="2" borderId="141" xfId="0" applyFont="1" applyFill="1" applyBorder="1" applyAlignment="1">
      <alignment vertical="center" wrapText="1"/>
    </xf>
    <xf numFmtId="0" fontId="0" fillId="2" borderId="141" xfId="0" applyFont="1" applyFill="1" applyBorder="1" applyAlignment="1">
      <alignment vertical="center" wrapText="1"/>
    </xf>
    <xf numFmtId="0" fontId="4" fillId="2" borderId="141" xfId="0" applyFont="1" applyFill="1" applyBorder="1" applyAlignment="1">
      <alignment horizontal="center" vertical="center" wrapText="1"/>
    </xf>
    <xf numFmtId="2" fontId="9" fillId="5" borderId="120" xfId="0" applyNumberFormat="1" applyFont="1" applyFill="1" applyBorder="1" applyAlignment="1">
      <alignment horizontal="right" vertical="center" wrapText="1"/>
    </xf>
    <xf numFmtId="164" fontId="10" fillId="2" borderId="132" xfId="2" applyFont="1" applyFill="1" applyBorder="1" applyAlignment="1">
      <alignment horizontal="left" vertical="center" wrapText="1"/>
    </xf>
    <xf numFmtId="0" fontId="38" fillId="0" borderId="0" xfId="0" applyFont="1" applyAlignment="1">
      <alignment horizontal="left"/>
    </xf>
    <xf numFmtId="0" fontId="9" fillId="0" borderId="0" xfId="0" applyFont="1" applyAlignment="1">
      <alignment horizontal="left" wrapText="1"/>
    </xf>
    <xf numFmtId="0" fontId="26" fillId="0" borderId="0" xfId="0" applyFont="1" applyAlignment="1">
      <alignment wrapText="1"/>
    </xf>
    <xf numFmtId="0" fontId="0" fillId="0" borderId="0" xfId="0" applyFont="1" applyAlignment="1">
      <alignment horizontal="right"/>
    </xf>
    <xf numFmtId="0" fontId="32" fillId="0" borderId="0" xfId="0" applyFont="1"/>
    <xf numFmtId="0" fontId="8" fillId="0" borderId="0" xfId="0" applyFont="1"/>
    <xf numFmtId="0" fontId="39" fillId="0" borderId="0" xfId="0" applyFont="1" applyAlignment="1">
      <alignment horizontal="center"/>
    </xf>
    <xf numFmtId="0" fontId="32" fillId="0" borderId="0" xfId="0" applyFont="1" applyAlignment="1">
      <alignment wrapText="1"/>
    </xf>
    <xf numFmtId="0" fontId="32" fillId="0" borderId="0" xfId="0" applyFont="1" applyAlignment="1">
      <alignment horizontal="left" wrapText="1"/>
    </xf>
    <xf numFmtId="0" fontId="11" fillId="0" borderId="0" xfId="0" applyFont="1" applyAlignment="1">
      <alignment horizontal="left"/>
    </xf>
    <xf numFmtId="0" fontId="0" fillId="0" borderId="0" xfId="0" applyFont="1" applyAlignment="1">
      <alignment horizontal="left" wrapText="1"/>
    </xf>
    <xf numFmtId="0" fontId="12" fillId="16" borderId="172" xfId="0" applyFont="1" applyFill="1" applyBorder="1" applyAlignment="1">
      <alignment horizontal="center" wrapText="1"/>
    </xf>
    <xf numFmtId="0" fontId="16" fillId="10" borderId="156" xfId="0" applyFont="1" applyFill="1" applyBorder="1" applyAlignment="1">
      <alignment horizontal="left"/>
    </xf>
    <xf numFmtId="0" fontId="14" fillId="10" borderId="156" xfId="0" applyFont="1" applyFill="1" applyBorder="1"/>
    <xf numFmtId="0" fontId="16" fillId="10" borderId="11" xfId="0" applyFont="1" applyFill="1" applyBorder="1" applyAlignment="1">
      <alignment horizontal="left"/>
    </xf>
    <xf numFmtId="0" fontId="14" fillId="10" borderId="11" xfId="0" applyFont="1" applyFill="1" applyBorder="1" applyAlignment="1">
      <alignment horizontal="left"/>
    </xf>
    <xf numFmtId="0" fontId="14" fillId="10" borderId="11" xfId="0" applyFont="1" applyFill="1" applyBorder="1" applyAlignment="1">
      <alignment horizontal="center"/>
    </xf>
    <xf numFmtId="4" fontId="19" fillId="10" borderId="11" xfId="0" applyNumberFormat="1" applyFont="1" applyFill="1" applyBorder="1"/>
    <xf numFmtId="10" fontId="40" fillId="10" borderId="11" xfId="0" applyNumberFormat="1" applyFont="1" applyFill="1" applyBorder="1" applyAlignment="1">
      <alignment horizontal="center"/>
    </xf>
    <xf numFmtId="14" fontId="17" fillId="5" borderId="11" xfId="0" applyNumberFormat="1" applyFont="1" applyFill="1" applyBorder="1" applyAlignment="1">
      <alignment horizontal="left" vertical="center" wrapText="1"/>
    </xf>
    <xf numFmtId="0" fontId="23" fillId="10" borderId="11" xfId="0" applyFont="1" applyFill="1" applyBorder="1" applyAlignment="1">
      <alignment horizontal="center"/>
    </xf>
    <xf numFmtId="0" fontId="22" fillId="10" borderId="11" xfId="0" applyFont="1" applyFill="1" applyBorder="1" applyAlignment="1">
      <alignment vertical="top"/>
    </xf>
    <xf numFmtId="0" fontId="14" fillId="10" borderId="11" xfId="0" applyFont="1" applyFill="1" applyBorder="1" applyAlignment="1">
      <alignment vertical="top"/>
    </xf>
    <xf numFmtId="0" fontId="16" fillId="10" borderId="13" xfId="0" applyFont="1" applyFill="1" applyBorder="1" applyAlignment="1">
      <alignment horizontal="left"/>
    </xf>
    <xf numFmtId="0" fontId="16" fillId="10" borderId="14" xfId="0" applyFont="1" applyFill="1" applyBorder="1" applyAlignment="1">
      <alignment horizontal="left"/>
    </xf>
    <xf numFmtId="0" fontId="23" fillId="10" borderId="22" xfId="0" applyFont="1" applyFill="1" applyBorder="1" applyAlignment="1">
      <alignment horizontal="center"/>
    </xf>
    <xf numFmtId="0" fontId="22" fillId="10" borderId="22" xfId="0" applyFont="1" applyFill="1" applyBorder="1" applyAlignment="1">
      <alignment vertical="top"/>
    </xf>
    <xf numFmtId="0" fontId="10" fillId="10" borderId="22" xfId="0" applyFont="1" applyFill="1" applyBorder="1" applyAlignment="1">
      <alignment horizontal="left" vertical="center" wrapText="1"/>
    </xf>
    <xf numFmtId="0" fontId="14" fillId="10" borderId="14" xfId="0" applyFont="1" applyFill="1" applyBorder="1" applyAlignment="1">
      <alignment vertical="top"/>
    </xf>
    <xf numFmtId="0" fontId="38" fillId="12" borderId="0" xfId="0" applyFont="1" applyFill="1" applyAlignment="1">
      <alignment horizontal="left" vertical="center" wrapText="1"/>
    </xf>
    <xf numFmtId="0" fontId="41" fillId="8" borderId="26" xfId="0" applyFont="1" applyFill="1" applyBorder="1" applyAlignment="1">
      <alignment horizontal="left" vertical="center"/>
    </xf>
    <xf numFmtId="0" fontId="41" fillId="8" borderId="27" xfId="0" applyFont="1" applyFill="1" applyBorder="1" applyAlignment="1">
      <alignment horizontal="left" vertical="center"/>
    </xf>
    <xf numFmtId="0" fontId="5" fillId="8" borderId="27" xfId="0" applyFont="1" applyFill="1" applyBorder="1" applyAlignment="1">
      <alignment horizontal="center" vertical="center"/>
    </xf>
    <xf numFmtId="0" fontId="41" fillId="8" borderId="28" xfId="0" applyFont="1" applyFill="1" applyBorder="1" applyAlignment="1">
      <alignment horizontal="left" vertical="center" wrapText="1"/>
    </xf>
    <xf numFmtId="0" fontId="32" fillId="0" borderId="31" xfId="0" applyFont="1" applyBorder="1" applyAlignment="1">
      <alignment horizontal="left"/>
    </xf>
    <xf numFmtId="0" fontId="5" fillId="0" borderId="32" xfId="0" applyFont="1" applyBorder="1" applyAlignment="1">
      <alignment horizontal="left"/>
    </xf>
    <xf numFmtId="0" fontId="4" fillId="0" borderId="32" xfId="0" applyFont="1" applyBorder="1" applyAlignment="1">
      <alignment horizontal="left"/>
    </xf>
    <xf numFmtId="0" fontId="39" fillId="0" borderId="32" xfId="0" applyFont="1" applyBorder="1" applyAlignment="1">
      <alignment horizontal="center"/>
    </xf>
    <xf numFmtId="1" fontId="0" fillId="0" borderId="32" xfId="0" applyNumberFormat="1" applyFont="1" applyBorder="1" applyAlignment="1">
      <alignment horizontal="right" indent="2"/>
    </xf>
    <xf numFmtId="0" fontId="32" fillId="0" borderId="33" xfId="0" applyFont="1" applyBorder="1" applyAlignment="1">
      <alignment horizontal="left" wrapText="1"/>
    </xf>
    <xf numFmtId="0" fontId="9" fillId="13" borderId="92" xfId="0" applyFont="1" applyFill="1" applyBorder="1" applyAlignment="1">
      <alignment horizontal="center" vertical="center" wrapText="1"/>
    </xf>
    <xf numFmtId="0" fontId="9" fillId="13" borderId="93" xfId="0" applyFont="1" applyFill="1" applyBorder="1" applyAlignment="1">
      <alignment horizontal="left" vertical="center"/>
    </xf>
    <xf numFmtId="0" fontId="4" fillId="11" borderId="56" xfId="0" applyFont="1" applyFill="1" applyBorder="1" applyAlignment="1">
      <alignment vertical="center" wrapText="1"/>
    </xf>
    <xf numFmtId="0" fontId="4" fillId="11" borderId="56" xfId="0" applyFont="1" applyFill="1" applyBorder="1" applyAlignment="1">
      <alignment horizontal="center" vertical="center" wrapText="1"/>
    </xf>
    <xf numFmtId="1" fontId="4" fillId="11" borderId="56" xfId="0" applyNumberFormat="1" applyFont="1" applyFill="1" applyBorder="1" applyAlignment="1">
      <alignment horizontal="center" vertical="center" wrapText="1"/>
    </xf>
    <xf numFmtId="0" fontId="4" fillId="0" borderId="80" xfId="0" applyFont="1" applyBorder="1" applyAlignment="1" applyProtection="1">
      <alignment horizontal="left" vertical="center" wrapText="1"/>
      <protection locked="0"/>
    </xf>
    <xf numFmtId="0" fontId="4" fillId="15" borderId="56" xfId="0" applyFont="1" applyFill="1" applyBorder="1" applyAlignment="1">
      <alignment vertical="center" wrapText="1"/>
    </xf>
    <xf numFmtId="0" fontId="4" fillId="15" borderId="56" xfId="0" applyFont="1" applyFill="1" applyBorder="1" applyAlignment="1">
      <alignment horizontal="center" vertical="center" wrapText="1"/>
    </xf>
    <xf numFmtId="1" fontId="4" fillId="15" borderId="56" xfId="0" applyNumberFormat="1" applyFont="1" applyFill="1" applyBorder="1" applyAlignment="1">
      <alignment horizontal="center" vertical="center" wrapText="1"/>
    </xf>
    <xf numFmtId="0" fontId="4" fillId="0" borderId="59" xfId="0" applyFont="1" applyBorder="1" applyAlignment="1" applyProtection="1">
      <alignment horizontal="left" vertical="center" wrapText="1"/>
      <protection locked="0"/>
    </xf>
    <xf numFmtId="0" fontId="4" fillId="11" borderId="102" xfId="0" applyFont="1" applyFill="1" applyBorder="1" applyAlignment="1">
      <alignment vertical="center" wrapText="1"/>
    </xf>
    <xf numFmtId="0" fontId="4" fillId="11" borderId="102" xfId="0" applyFont="1" applyFill="1" applyBorder="1" applyAlignment="1">
      <alignment horizontal="center" vertical="center" wrapText="1"/>
    </xf>
    <xf numFmtId="1" fontId="4" fillId="11" borderId="102" xfId="0" applyNumberFormat="1" applyFont="1" applyFill="1" applyBorder="1" applyAlignment="1">
      <alignment horizontal="center" vertical="center" wrapText="1"/>
    </xf>
    <xf numFmtId="0" fontId="4" fillId="0" borderId="103" xfId="0" applyFont="1" applyBorder="1" applyAlignment="1" applyProtection="1">
      <alignment horizontal="left" vertical="center" wrapText="1"/>
      <protection locked="0"/>
    </xf>
    <xf numFmtId="0" fontId="4" fillId="11" borderId="57" xfId="0" applyFont="1" applyFill="1" applyBorder="1" applyAlignment="1">
      <alignment vertical="center" wrapText="1"/>
    </xf>
    <xf numFmtId="0" fontId="4" fillId="11" borderId="57" xfId="0" applyFont="1" applyFill="1" applyBorder="1" applyAlignment="1">
      <alignment horizontal="center" vertical="center" wrapText="1"/>
    </xf>
    <xf numFmtId="1" fontId="4" fillId="11" borderId="57" xfId="0" applyNumberFormat="1" applyFont="1" applyFill="1" applyBorder="1" applyAlignment="1">
      <alignment horizontal="center" vertical="center" wrapText="1"/>
    </xf>
    <xf numFmtId="0" fontId="4" fillId="15" borderId="102" xfId="0" applyFont="1" applyFill="1" applyBorder="1" applyAlignment="1">
      <alignment vertical="center" wrapText="1"/>
    </xf>
    <xf numFmtId="0" fontId="4" fillId="15" borderId="102" xfId="0" applyFont="1" applyFill="1" applyBorder="1" applyAlignment="1">
      <alignment horizontal="center" vertical="center" wrapText="1"/>
    </xf>
    <xf numFmtId="1" fontId="4" fillId="15" borderId="102" xfId="0" applyNumberFormat="1" applyFont="1" applyFill="1" applyBorder="1" applyAlignment="1">
      <alignment horizontal="center" vertical="center" wrapText="1"/>
    </xf>
    <xf numFmtId="0" fontId="4" fillId="15" borderId="57" xfId="0" applyFont="1" applyFill="1" applyBorder="1" applyAlignment="1">
      <alignment vertical="center" wrapText="1"/>
    </xf>
    <xf numFmtId="0" fontId="4" fillId="15" borderId="57" xfId="0" applyFont="1" applyFill="1" applyBorder="1" applyAlignment="1">
      <alignment horizontal="center" vertical="center" wrapText="1"/>
    </xf>
    <xf numFmtId="1" fontId="4" fillId="15" borderId="57" xfId="0" applyNumberFormat="1" applyFont="1" applyFill="1" applyBorder="1" applyAlignment="1">
      <alignment horizontal="center" vertical="center" wrapText="1"/>
    </xf>
    <xf numFmtId="0" fontId="4" fillId="11" borderId="61" xfId="0" applyFont="1" applyFill="1" applyBorder="1" applyAlignment="1">
      <alignment vertical="center" wrapText="1"/>
    </xf>
    <xf numFmtId="0" fontId="4" fillId="11" borderId="61" xfId="0" applyFont="1" applyFill="1" applyBorder="1" applyAlignment="1">
      <alignment horizontal="center" vertical="center" wrapText="1"/>
    </xf>
    <xf numFmtId="1" fontId="4" fillId="11" borderId="61" xfId="0" applyNumberFormat="1" applyFont="1" applyFill="1" applyBorder="1" applyAlignment="1">
      <alignment horizontal="center" vertical="center" wrapText="1"/>
    </xf>
    <xf numFmtId="0" fontId="4" fillId="0" borderId="73" xfId="0" applyFont="1" applyBorder="1" applyAlignment="1" applyProtection="1">
      <alignment horizontal="left" vertical="center" wrapText="1"/>
      <protection locked="0"/>
    </xf>
    <xf numFmtId="0" fontId="38" fillId="12" borderId="0" xfId="0" applyFont="1" applyFill="1"/>
    <xf numFmtId="0" fontId="41" fillId="8" borderId="27" xfId="0" applyFont="1" applyFill="1" applyBorder="1" applyAlignment="1">
      <alignment horizontal="center" vertical="center" wrapText="1"/>
    </xf>
    <xf numFmtId="0" fontId="5" fillId="8" borderId="27" xfId="0" applyFont="1" applyFill="1" applyBorder="1" applyAlignment="1">
      <alignment horizontal="center" vertical="center" wrapText="1"/>
    </xf>
    <xf numFmtId="1" fontId="41" fillId="8" borderId="27" xfId="0" applyNumberFormat="1" applyFont="1" applyFill="1" applyBorder="1" applyAlignment="1">
      <alignment horizontal="right" vertical="center" wrapText="1" indent="2"/>
    </xf>
    <xf numFmtId="0" fontId="32" fillId="8" borderId="28" xfId="0" applyFont="1" applyFill="1" applyBorder="1" applyAlignment="1">
      <alignment horizontal="left" vertical="center" wrapText="1"/>
    </xf>
    <xf numFmtId="0" fontId="38" fillId="12" borderId="0" xfId="0" applyFont="1" applyFill="1" applyAlignment="1">
      <alignment horizontal="left"/>
    </xf>
    <xf numFmtId="0" fontId="9" fillId="0" borderId="32" xfId="0" applyFont="1" applyBorder="1" applyAlignment="1">
      <alignment horizontal="left"/>
    </xf>
    <xf numFmtId="0" fontId="0" fillId="0" borderId="32" xfId="0" applyFont="1" applyBorder="1" applyAlignment="1">
      <alignment horizontal="left"/>
    </xf>
    <xf numFmtId="0" fontId="4" fillId="0" borderId="32" xfId="0" applyFont="1" applyBorder="1" applyAlignment="1">
      <alignment horizontal="center"/>
    </xf>
    <xf numFmtId="0" fontId="9" fillId="10" borderId="34" xfId="0" applyFont="1" applyFill="1" applyBorder="1" applyAlignment="1">
      <alignment vertical="center" wrapText="1"/>
    </xf>
    <xf numFmtId="0" fontId="9" fillId="13" borderId="66" xfId="0" applyFont="1" applyFill="1" applyBorder="1" applyAlignment="1">
      <alignment horizontal="center" vertical="center" wrapText="1"/>
    </xf>
    <xf numFmtId="0" fontId="9" fillId="13" borderId="67" xfId="0" applyFont="1" applyFill="1" applyBorder="1" applyAlignment="1">
      <alignment horizontal="left" vertical="center"/>
    </xf>
    <xf numFmtId="0" fontId="4" fillId="5" borderId="35" xfId="0" applyFont="1" applyFill="1" applyBorder="1" applyAlignment="1">
      <alignment horizontal="center" vertical="center" wrapText="1"/>
    </xf>
    <xf numFmtId="0" fontId="5" fillId="5" borderId="16" xfId="0" applyFont="1" applyFill="1" applyBorder="1" applyAlignment="1">
      <alignment horizontal="left" vertical="center" wrapText="1"/>
    </xf>
    <xf numFmtId="0" fontId="4" fillId="5" borderId="18" xfId="0" applyFont="1" applyFill="1" applyBorder="1" applyAlignment="1">
      <alignment vertical="center" wrapText="1"/>
    </xf>
    <xf numFmtId="0" fontId="4" fillId="5" borderId="16" xfId="0" applyFont="1" applyFill="1" applyBorder="1" applyAlignment="1">
      <alignment horizontal="center" vertical="center" wrapText="1"/>
    </xf>
    <xf numFmtId="1" fontId="4" fillId="5" borderId="16" xfId="0" applyNumberFormat="1" applyFont="1" applyFill="1" applyBorder="1" applyAlignment="1">
      <alignment horizontal="center" vertical="center" wrapText="1"/>
    </xf>
    <xf numFmtId="0" fontId="4" fillId="11" borderId="35" xfId="0" applyFont="1" applyFill="1" applyBorder="1" applyAlignment="1">
      <alignment horizontal="center" vertical="center" wrapText="1"/>
    </xf>
    <xf numFmtId="0" fontId="5" fillId="11" borderId="16" xfId="0" applyFont="1" applyFill="1" applyBorder="1" applyAlignment="1">
      <alignment horizontal="left" vertical="center" wrapText="1"/>
    </xf>
    <xf numFmtId="0" fontId="4" fillId="11" borderId="18" xfId="0" applyFont="1" applyFill="1" applyBorder="1" applyAlignment="1">
      <alignment vertical="center" wrapText="1"/>
    </xf>
    <xf numFmtId="0" fontId="4" fillId="11" borderId="16" xfId="0" applyFont="1" applyFill="1" applyBorder="1" applyAlignment="1">
      <alignment horizontal="center" vertical="center" wrapText="1"/>
    </xf>
    <xf numFmtId="1" fontId="4" fillId="11" borderId="16" xfId="0" applyNumberFormat="1" applyFont="1" applyFill="1" applyBorder="1" applyAlignment="1">
      <alignment horizontal="center" vertical="center" wrapText="1"/>
    </xf>
    <xf numFmtId="0" fontId="4" fillId="5" borderId="70" xfId="0" applyFont="1" applyFill="1" applyBorder="1" applyAlignment="1">
      <alignment horizontal="center" vertical="center" wrapText="1"/>
    </xf>
    <xf numFmtId="0" fontId="5" fillId="5" borderId="71" xfId="0" applyFont="1" applyFill="1" applyBorder="1" applyAlignment="1">
      <alignment horizontal="left" vertical="center" wrapText="1"/>
    </xf>
    <xf numFmtId="0" fontId="4" fillId="5" borderId="36" xfId="0" applyFont="1" applyFill="1" applyBorder="1" applyAlignment="1">
      <alignment vertical="center" wrapText="1"/>
    </xf>
    <xf numFmtId="0" fontId="4" fillId="5" borderId="71" xfId="0" applyFont="1" applyFill="1" applyBorder="1" applyAlignment="1">
      <alignment horizontal="center" vertical="center" wrapText="1"/>
    </xf>
    <xf numFmtId="1" fontId="4" fillId="5" borderId="71" xfId="0" applyNumberFormat="1" applyFont="1" applyFill="1" applyBorder="1" applyAlignment="1">
      <alignment horizontal="center" vertical="center" wrapText="1"/>
    </xf>
    <xf numFmtId="0" fontId="41" fillId="8" borderId="26" xfId="0" applyFont="1" applyFill="1" applyBorder="1" applyAlignment="1">
      <alignment vertical="center"/>
    </xf>
    <xf numFmtId="0" fontId="41" fillId="8" borderId="27" xfId="0" applyFont="1" applyFill="1" applyBorder="1" applyAlignment="1">
      <alignment vertical="center"/>
    </xf>
    <xf numFmtId="0" fontId="9" fillId="8" borderId="27" xfId="0" applyFont="1" applyFill="1" applyBorder="1" applyAlignment="1">
      <alignment vertical="center"/>
    </xf>
    <xf numFmtId="1" fontId="41" fillId="8" borderId="27" xfId="0" applyNumberFormat="1" applyFont="1" applyFill="1" applyBorder="1" applyAlignment="1">
      <alignment horizontal="center" vertical="center"/>
    </xf>
    <xf numFmtId="0" fontId="32" fillId="8" borderId="28" xfId="0" applyFont="1" applyFill="1" applyBorder="1" applyAlignment="1" applyProtection="1">
      <alignment horizontal="left" vertical="center" wrapText="1"/>
      <protection locked="0"/>
    </xf>
    <xf numFmtId="0" fontId="32" fillId="0" borderId="29" xfId="0" applyFont="1" applyBorder="1" applyAlignment="1">
      <alignment horizontal="left"/>
    </xf>
    <xf numFmtId="0" fontId="4" fillId="0" borderId="0" xfId="0" applyFont="1" applyAlignment="1">
      <alignment horizontal="center"/>
    </xf>
    <xf numFmtId="1" fontId="4" fillId="0" borderId="0" xfId="0" applyNumberFormat="1" applyFont="1" applyAlignment="1">
      <alignment horizontal="center"/>
    </xf>
    <xf numFmtId="0" fontId="32" fillId="0" borderId="30" xfId="0" applyFont="1" applyBorder="1" applyAlignment="1" applyProtection="1">
      <alignment horizontal="left" wrapText="1"/>
      <protection locked="0"/>
    </xf>
    <xf numFmtId="0" fontId="9" fillId="10" borderId="81" xfId="0" applyFont="1" applyFill="1" applyBorder="1" applyAlignment="1">
      <alignment horizontal="center" vertical="center"/>
    </xf>
    <xf numFmtId="0" fontId="9" fillId="10" borderId="82" xfId="0" applyFont="1" applyFill="1" applyBorder="1" applyAlignment="1">
      <alignment horizontal="left" vertical="center"/>
    </xf>
    <xf numFmtId="0" fontId="9" fillId="10" borderId="83" xfId="0" applyFont="1" applyFill="1" applyBorder="1" applyAlignment="1">
      <alignment vertical="center" wrapText="1"/>
    </xf>
    <xf numFmtId="0" fontId="5" fillId="10" borderId="83" xfId="0" applyFont="1" applyFill="1" applyBorder="1" applyAlignment="1">
      <alignment horizontal="center" vertical="center" wrapText="1"/>
    </xf>
    <xf numFmtId="1" fontId="9" fillId="10" borderId="83" xfId="0" applyNumberFormat="1" applyFont="1" applyFill="1" applyBorder="1" applyAlignment="1">
      <alignment horizontal="center" vertical="center" wrapText="1"/>
    </xf>
    <xf numFmtId="0" fontId="9" fillId="10" borderId="84" xfId="0" applyFont="1" applyFill="1" applyBorder="1" applyAlignment="1" applyProtection="1">
      <alignment horizontal="left" vertical="center" wrapText="1"/>
      <protection locked="0"/>
    </xf>
    <xf numFmtId="0" fontId="4" fillId="5" borderId="85" xfId="0" applyFont="1" applyFill="1" applyBorder="1" applyAlignment="1">
      <alignment horizontal="center" vertical="center" wrapText="1"/>
    </xf>
    <xf numFmtId="0" fontId="4" fillId="5" borderId="57" xfId="0" applyFont="1" applyFill="1" applyBorder="1" applyAlignment="1">
      <alignment horizontal="center" vertical="center" wrapText="1"/>
    </xf>
    <xf numFmtId="1" fontId="4" fillId="5" borderId="57" xfId="0" applyNumberFormat="1" applyFont="1" applyFill="1" applyBorder="1" applyAlignment="1">
      <alignment horizontal="center" vertical="center" wrapText="1"/>
    </xf>
    <xf numFmtId="0" fontId="4" fillId="11" borderId="58" xfId="0" applyFont="1" applyFill="1" applyBorder="1" applyAlignment="1">
      <alignment horizontal="center" vertical="center" wrapText="1"/>
    </xf>
    <xf numFmtId="0" fontId="4" fillId="5" borderId="58" xfId="0" applyFont="1" applyFill="1" applyBorder="1" applyAlignment="1">
      <alignment horizontal="center" vertical="center" wrapText="1"/>
    </xf>
    <xf numFmtId="0" fontId="4" fillId="5" borderId="56" xfId="0" applyFont="1" applyFill="1" applyBorder="1" applyAlignment="1">
      <alignment vertical="center" wrapText="1"/>
    </xf>
    <xf numFmtId="0" fontId="4" fillId="5" borderId="56" xfId="0" applyFont="1" applyFill="1" applyBorder="1" applyAlignment="1">
      <alignment horizontal="center" vertical="center" wrapText="1"/>
    </xf>
    <xf numFmtId="1" fontId="4" fillId="5" borderId="56" xfId="0" applyNumberFormat="1" applyFont="1" applyFill="1" applyBorder="1" applyAlignment="1">
      <alignment horizontal="center" vertical="center" wrapText="1"/>
    </xf>
    <xf numFmtId="0" fontId="5" fillId="10" borderId="81" xfId="0" applyFont="1" applyFill="1" applyBorder="1" applyAlignment="1">
      <alignment horizontal="center" vertical="center"/>
    </xf>
    <xf numFmtId="0" fontId="5" fillId="10" borderId="82" xfId="0" applyFont="1" applyFill="1" applyBorder="1" applyAlignment="1">
      <alignment horizontal="left" vertical="center"/>
    </xf>
    <xf numFmtId="0" fontId="5" fillId="10" borderId="83" xfId="0" applyFont="1" applyFill="1" applyBorder="1" applyAlignment="1">
      <alignment vertical="center" wrapText="1"/>
    </xf>
    <xf numFmtId="1" fontId="5" fillId="10" borderId="83" xfId="0" applyNumberFormat="1" applyFont="1" applyFill="1" applyBorder="1" applyAlignment="1">
      <alignment horizontal="center" vertical="center" wrapText="1"/>
    </xf>
    <xf numFmtId="0" fontId="5" fillId="10" borderId="84" xfId="0" applyFont="1" applyFill="1" applyBorder="1" applyAlignment="1" applyProtection="1">
      <alignment horizontal="left" vertical="center" wrapText="1"/>
      <protection locked="0"/>
    </xf>
    <xf numFmtId="0" fontId="4" fillId="5" borderId="60" xfId="0" applyFont="1" applyFill="1" applyBorder="1" applyAlignment="1">
      <alignment horizontal="center" vertical="center" wrapText="1"/>
    </xf>
    <xf numFmtId="0" fontId="4" fillId="5" borderId="61" xfId="0" applyFont="1" applyFill="1" applyBorder="1" applyAlignment="1">
      <alignment vertical="center" wrapText="1"/>
    </xf>
    <xf numFmtId="0" fontId="4" fillId="5" borderId="61" xfId="0" applyFont="1" applyFill="1" applyBorder="1" applyAlignment="1">
      <alignment horizontal="center" vertical="center" wrapText="1"/>
    </xf>
    <xf numFmtId="1" fontId="4" fillId="5" borderId="61" xfId="0" applyNumberFormat="1" applyFont="1" applyFill="1" applyBorder="1" applyAlignment="1">
      <alignment horizontal="center" vertical="center" wrapText="1"/>
    </xf>
    <xf numFmtId="0" fontId="17" fillId="5" borderId="11" xfId="0" applyFont="1" applyFill="1" applyBorder="1" applyAlignment="1">
      <alignment horizontal="left" vertical="center" wrapText="1"/>
    </xf>
    <xf numFmtId="1" fontId="4" fillId="0" borderId="32" xfId="0" applyNumberFormat="1" applyFont="1" applyBorder="1" applyAlignment="1">
      <alignment horizontal="center"/>
    </xf>
    <xf numFmtId="0" fontId="9" fillId="10" borderId="74" xfId="0" applyFont="1" applyFill="1" applyBorder="1" applyAlignment="1">
      <alignment horizontal="center" vertical="center"/>
    </xf>
    <xf numFmtId="0" fontId="9" fillId="10" borderId="75" xfId="0" applyFont="1" applyFill="1" applyBorder="1" applyAlignment="1">
      <alignment horizontal="left" vertical="center"/>
    </xf>
    <xf numFmtId="0" fontId="5" fillId="10" borderId="77" xfId="0" applyFont="1" applyFill="1" applyBorder="1" applyAlignment="1">
      <alignment vertical="center" wrapText="1"/>
    </xf>
    <xf numFmtId="0" fontId="5" fillId="10" borderId="78" xfId="0" applyFont="1" applyFill="1" applyBorder="1" applyAlignment="1">
      <alignment horizontal="center" vertical="center" wrapText="1"/>
    </xf>
    <xf numFmtId="1" fontId="9" fillId="10" borderId="77" xfId="0" applyNumberFormat="1" applyFont="1" applyFill="1" applyBorder="1" applyAlignment="1">
      <alignment horizontal="center" vertical="center" wrapText="1"/>
    </xf>
    <xf numFmtId="0" fontId="9" fillId="10" borderId="78" xfId="0" applyFont="1" applyFill="1" applyBorder="1" applyAlignment="1">
      <alignment horizontal="left" vertical="center" wrapText="1"/>
    </xf>
    <xf numFmtId="0" fontId="4" fillId="5" borderId="66" xfId="0" applyFont="1" applyFill="1" applyBorder="1" applyAlignment="1">
      <alignment horizontal="center" vertical="center" wrapText="1"/>
    </xf>
    <xf numFmtId="0" fontId="4" fillId="5" borderId="79" xfId="0" applyFont="1" applyFill="1" applyBorder="1" applyAlignment="1">
      <alignment horizontal="left" vertical="center" wrapText="1"/>
    </xf>
    <xf numFmtId="0" fontId="4" fillId="5" borderId="69" xfId="0" applyFont="1" applyFill="1" applyBorder="1" applyAlignment="1">
      <alignment vertical="center" wrapText="1"/>
    </xf>
    <xf numFmtId="0" fontId="4" fillId="5" borderId="67" xfId="0" applyFont="1" applyFill="1" applyBorder="1" applyAlignment="1">
      <alignment horizontal="center" vertical="center" wrapText="1"/>
    </xf>
    <xf numFmtId="1" fontId="4" fillId="5" borderId="67" xfId="0" applyNumberFormat="1" applyFont="1" applyFill="1" applyBorder="1" applyAlignment="1">
      <alignment horizontal="center" vertical="center" wrapText="1"/>
    </xf>
    <xf numFmtId="0" fontId="4" fillId="11" borderId="16"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11" borderId="70" xfId="0" applyFont="1" applyFill="1" applyBorder="1" applyAlignment="1">
      <alignment horizontal="center" vertical="center" wrapText="1"/>
    </xf>
    <xf numFmtId="0" fontId="4" fillId="11" borderId="71" xfId="0" applyFont="1" applyFill="1" applyBorder="1" applyAlignment="1">
      <alignment horizontal="left" vertical="center" wrapText="1"/>
    </xf>
    <xf numFmtId="0" fontId="4" fillId="11" borderId="36" xfId="0" applyFont="1" applyFill="1" applyBorder="1" applyAlignment="1">
      <alignment vertical="center" wrapText="1"/>
    </xf>
    <xf numFmtId="0" fontId="4" fillId="11" borderId="71" xfId="0" applyFont="1" applyFill="1" applyBorder="1" applyAlignment="1">
      <alignment horizontal="center" vertical="center" wrapText="1"/>
    </xf>
    <xf numFmtId="1" fontId="4" fillId="11" borderId="71" xfId="0" applyNumberFormat="1" applyFont="1" applyFill="1" applyBorder="1" applyAlignment="1">
      <alignment horizontal="center" vertical="center" wrapText="1"/>
    </xf>
    <xf numFmtId="0" fontId="16" fillId="16" borderId="149" xfId="0" applyFont="1" applyFill="1" applyBorder="1" applyAlignment="1">
      <alignment horizontal="center" wrapText="1"/>
    </xf>
    <xf numFmtId="0" fontId="44" fillId="10" borderId="23" xfId="0" applyFont="1" applyFill="1" applyBorder="1" applyAlignment="1">
      <alignment horizontal="left" vertical="center" wrapText="1"/>
    </xf>
    <xf numFmtId="0" fontId="11" fillId="6" borderId="25" xfId="0" applyFont="1" applyFill="1" applyBorder="1" applyAlignment="1">
      <alignment horizontal="left"/>
    </xf>
    <xf numFmtId="0" fontId="16" fillId="10" borderId="157" xfId="0" applyFont="1" applyFill="1" applyBorder="1" applyAlignment="1">
      <alignment horizontal="center"/>
    </xf>
    <xf numFmtId="0" fontId="16" fillId="10" borderId="32" xfId="0" applyFont="1" applyFill="1" applyBorder="1" applyAlignment="1">
      <alignment horizontal="center"/>
    </xf>
    <xf numFmtId="0" fontId="16" fillId="10" borderId="158" xfId="0" applyFont="1" applyFill="1" applyBorder="1" applyAlignment="1">
      <alignment horizontal="center"/>
    </xf>
    <xf numFmtId="4" fontId="11" fillId="9" borderId="0" xfId="0" applyNumberFormat="1" applyFont="1" applyFill="1" applyAlignment="1">
      <alignment horizontal="left"/>
    </xf>
    <xf numFmtId="4" fontId="7" fillId="9" borderId="26" xfId="0" applyNumberFormat="1" applyFont="1" applyFill="1" applyBorder="1" applyAlignment="1">
      <alignment horizontal="center"/>
    </xf>
    <xf numFmtId="4" fontId="7" fillId="9" borderId="27" xfId="0" applyNumberFormat="1" applyFont="1" applyFill="1" applyBorder="1" applyAlignment="1">
      <alignment horizontal="center"/>
    </xf>
    <xf numFmtId="4" fontId="31" fillId="9" borderId="29" xfId="0" applyNumberFormat="1" applyFont="1" applyFill="1" applyBorder="1" applyAlignment="1">
      <alignment horizontal="center"/>
    </xf>
    <xf numFmtId="4" fontId="31" fillId="9" borderId="0" xfId="0" applyNumberFormat="1" applyFont="1" applyFill="1" applyAlignment="1">
      <alignment horizontal="center"/>
    </xf>
    <xf numFmtId="1" fontId="31" fillId="9" borderId="0" xfId="0" applyNumberFormat="1" applyFont="1" applyFill="1" applyAlignment="1" applyProtection="1">
      <alignment horizontal="center"/>
      <protection locked="0"/>
    </xf>
    <xf numFmtId="1" fontId="31" fillId="9" borderId="0" xfId="0" applyNumberFormat="1" applyFont="1" applyFill="1" applyAlignment="1">
      <alignment horizontal="center"/>
    </xf>
    <xf numFmtId="10" fontId="45" fillId="9" borderId="0" xfId="0" applyNumberFormat="1" applyFont="1" applyFill="1" applyAlignment="1">
      <alignment horizontal="center"/>
    </xf>
    <xf numFmtId="1" fontId="31" fillId="4" borderId="41" xfId="0" applyNumberFormat="1" applyFont="1" applyFill="1" applyBorder="1" applyProtection="1">
      <protection locked="0"/>
    </xf>
    <xf numFmtId="1" fontId="31" fillId="4" borderId="114" xfId="0" applyNumberFormat="1" applyFont="1" applyFill="1" applyBorder="1" applyProtection="1">
      <protection locked="0"/>
    </xf>
    <xf numFmtId="0" fontId="11" fillId="0" borderId="0" xfId="0" applyFont="1" applyAlignment="1">
      <alignment horizontal="left" vertical="center" wrapText="1"/>
    </xf>
    <xf numFmtId="0" fontId="9" fillId="4" borderId="8" xfId="0" applyFont="1" applyFill="1" applyBorder="1" applyAlignment="1">
      <alignment horizontal="left" vertical="center" wrapText="1"/>
    </xf>
    <xf numFmtId="4" fontId="5" fillId="7" borderId="19" xfId="0" applyNumberFormat="1" applyFont="1" applyFill="1" applyBorder="1" applyAlignment="1">
      <alignment vertical="center" wrapText="1"/>
    </xf>
    <xf numFmtId="10" fontId="46" fillId="7" borderId="19" xfId="1" applyNumberFormat="1" applyFont="1" applyFill="1" applyBorder="1" applyAlignment="1">
      <alignment vertical="center" wrapText="1"/>
    </xf>
    <xf numFmtId="10" fontId="46" fillId="7" borderId="115" xfId="1" applyNumberFormat="1" applyFont="1" applyFill="1" applyBorder="1" applyAlignment="1">
      <alignment vertical="center" wrapText="1"/>
    </xf>
    <xf numFmtId="0" fontId="11" fillId="11" borderId="0" xfId="0" applyFont="1" applyFill="1" applyAlignment="1">
      <alignment horizontal="left"/>
    </xf>
    <xf numFmtId="0" fontId="25" fillId="11" borderId="29" xfId="0" applyFont="1" applyFill="1" applyBorder="1"/>
    <xf numFmtId="4" fontId="4" fillId="6" borderId="21" xfId="0" applyNumberFormat="1" applyFont="1" applyFill="1" applyBorder="1" applyAlignment="1" applyProtection="1">
      <alignment vertical="center" wrapText="1"/>
      <protection locked="0"/>
    </xf>
    <xf numFmtId="10" fontId="40" fillId="11" borderId="0" xfId="0" applyNumberFormat="1" applyFont="1" applyFill="1" applyAlignment="1">
      <alignment horizontal="right"/>
    </xf>
    <xf numFmtId="4" fontId="4" fillId="11" borderId="21" xfId="0" applyNumberFormat="1" applyFont="1" applyFill="1" applyBorder="1" applyAlignment="1">
      <alignment vertical="center" wrapText="1"/>
    </xf>
    <xf numFmtId="10" fontId="40" fillId="11" borderId="30" xfId="0" applyNumberFormat="1" applyFont="1" applyFill="1" applyBorder="1" applyAlignment="1">
      <alignment horizontal="right"/>
    </xf>
    <xf numFmtId="0" fontId="11" fillId="6" borderId="0" xfId="0" applyFont="1" applyFill="1" applyAlignment="1">
      <alignment horizontal="left"/>
    </xf>
    <xf numFmtId="0" fontId="25" fillId="6" borderId="29" xfId="0" applyFont="1" applyFill="1" applyBorder="1"/>
    <xf numFmtId="10" fontId="40" fillId="6" borderId="0" xfId="0" applyNumberFormat="1" applyFont="1" applyFill="1" applyAlignment="1">
      <alignment horizontal="right"/>
    </xf>
    <xf numFmtId="10" fontId="40" fillId="6" borderId="30" xfId="0" applyNumberFormat="1" applyFont="1" applyFill="1" applyBorder="1" applyAlignment="1">
      <alignment horizontal="right"/>
    </xf>
    <xf numFmtId="0" fontId="0" fillId="7" borderId="40" xfId="0" applyFont="1" applyFill="1" applyBorder="1" applyAlignment="1">
      <alignment vertical="center" wrapText="1"/>
    </xf>
    <xf numFmtId="4" fontId="31" fillId="9" borderId="29" xfId="0" applyNumberFormat="1" applyFont="1" applyFill="1" applyBorder="1" applyAlignment="1">
      <alignment horizontal="left"/>
    </xf>
    <xf numFmtId="4" fontId="4" fillId="7" borderId="19" xfId="0" applyNumberFormat="1" applyFont="1" applyFill="1" applyBorder="1" applyAlignment="1">
      <alignment vertical="center" wrapText="1"/>
    </xf>
    <xf numFmtId="10" fontId="48" fillId="7" borderId="19" xfId="1" applyNumberFormat="1" applyFont="1" applyFill="1" applyBorder="1" applyAlignment="1">
      <alignment vertical="center" wrapText="1"/>
    </xf>
    <xf numFmtId="10" fontId="48" fillId="7" borderId="115" xfId="1" applyNumberFormat="1" applyFont="1" applyFill="1" applyBorder="1" applyAlignment="1">
      <alignment vertical="center" wrapText="1"/>
    </xf>
    <xf numFmtId="0" fontId="49" fillId="0" borderId="0" xfId="0" applyFont="1" applyAlignment="1">
      <alignment horizontal="left" vertical="center" wrapText="1"/>
    </xf>
    <xf numFmtId="4" fontId="7" fillId="9" borderId="19" xfId="0" applyNumberFormat="1" applyFont="1" applyFill="1" applyBorder="1" applyAlignment="1">
      <alignment vertical="center" wrapText="1"/>
    </xf>
    <xf numFmtId="10" fontId="50" fillId="9" borderId="19" xfId="1" applyNumberFormat="1" applyFont="1" applyFill="1" applyBorder="1" applyAlignment="1">
      <alignment vertical="center" wrapText="1"/>
    </xf>
    <xf numFmtId="10" fontId="51" fillId="9" borderId="19" xfId="1" applyNumberFormat="1" applyFont="1" applyFill="1" applyBorder="1" applyAlignment="1">
      <alignment vertical="center" wrapText="1"/>
    </xf>
    <xf numFmtId="10" fontId="50" fillId="9" borderId="115" xfId="1" applyNumberFormat="1" applyFont="1" applyFill="1" applyBorder="1" applyAlignment="1">
      <alignment vertical="center" wrapText="1"/>
    </xf>
    <xf numFmtId="0" fontId="19" fillId="0" borderId="0" xfId="0" applyFont="1"/>
    <xf numFmtId="4" fontId="11" fillId="14" borderId="0" xfId="0" applyNumberFormat="1" applyFont="1" applyFill="1" applyAlignment="1">
      <alignment horizontal="left"/>
    </xf>
    <xf numFmtId="4" fontId="31" fillId="14" borderId="29" xfId="0" applyNumberFormat="1" applyFont="1" applyFill="1" applyBorder="1" applyAlignment="1">
      <alignment horizontal="left"/>
    </xf>
    <xf numFmtId="4" fontId="31" fillId="14" borderId="0" xfId="0" applyNumberFormat="1" applyFont="1" applyFill="1" applyAlignment="1">
      <alignment horizontal="center"/>
    </xf>
    <xf numFmtId="1" fontId="31" fillId="14" borderId="0" xfId="0" applyNumberFormat="1" applyFont="1" applyFill="1" applyAlignment="1" applyProtection="1">
      <alignment horizontal="center"/>
      <protection locked="0"/>
    </xf>
    <xf numFmtId="10" fontId="45" fillId="14" borderId="0" xfId="0" applyNumberFormat="1" applyFont="1" applyFill="1" applyAlignment="1">
      <alignment horizontal="center"/>
    </xf>
    <xf numFmtId="10" fontId="45" fillId="14" borderId="30" xfId="0" applyNumberFormat="1" applyFont="1" applyFill="1" applyBorder="1" applyAlignment="1">
      <alignment horizontal="center"/>
    </xf>
    <xf numFmtId="4" fontId="35" fillId="7" borderId="19" xfId="0" applyNumberFormat="1" applyFont="1" applyFill="1" applyBorder="1" applyAlignment="1">
      <alignment vertical="center" wrapText="1"/>
    </xf>
    <xf numFmtId="4" fontId="4" fillId="2" borderId="4" xfId="0" applyNumberFormat="1" applyFont="1" applyFill="1" applyBorder="1" applyAlignment="1" applyProtection="1">
      <alignment vertical="center" wrapText="1"/>
      <protection locked="0"/>
    </xf>
    <xf numFmtId="10" fontId="40" fillId="2" borderId="47" xfId="0" applyNumberFormat="1" applyFont="1" applyFill="1" applyBorder="1" applyAlignment="1">
      <alignment horizontal="right"/>
    </xf>
    <xf numFmtId="4" fontId="5" fillId="2" borderId="4" xfId="0" applyNumberFormat="1" applyFont="1" applyFill="1" applyBorder="1" applyAlignment="1" applyProtection="1">
      <alignment vertical="center" wrapText="1"/>
      <protection locked="0"/>
    </xf>
    <xf numFmtId="10" fontId="52" fillId="2" borderId="47" xfId="0" applyNumberFormat="1" applyFont="1" applyFill="1" applyBorder="1" applyAlignment="1">
      <alignment horizontal="right"/>
    </xf>
    <xf numFmtId="10" fontId="40" fillId="2" borderId="139" xfId="0" applyNumberFormat="1" applyFont="1" applyFill="1" applyBorder="1" applyAlignment="1">
      <alignment horizontal="right"/>
    </xf>
    <xf numFmtId="4" fontId="4" fillId="7" borderId="3" xfId="0" applyNumberFormat="1" applyFont="1" applyFill="1" applyBorder="1" applyAlignment="1" applyProtection="1">
      <alignment vertical="center" wrapText="1"/>
      <protection locked="0"/>
    </xf>
    <xf numFmtId="10" fontId="40" fillId="7" borderId="4" xfId="0" applyNumberFormat="1" applyFont="1" applyFill="1" applyBorder="1" applyAlignment="1">
      <alignment horizontal="right"/>
    </xf>
    <xf numFmtId="4" fontId="5" fillId="7" borderId="3" xfId="0" applyNumberFormat="1" applyFont="1" applyFill="1" applyBorder="1" applyAlignment="1" applyProtection="1">
      <alignment vertical="center" wrapText="1"/>
      <protection locked="0"/>
    </xf>
    <xf numFmtId="10" fontId="52" fillId="7" borderId="4" xfId="0" applyNumberFormat="1" applyFont="1" applyFill="1" applyBorder="1" applyAlignment="1">
      <alignment horizontal="right"/>
    </xf>
    <xf numFmtId="10" fontId="40" fillId="7" borderId="140" xfId="0" applyNumberFormat="1" applyFont="1" applyFill="1" applyBorder="1" applyAlignment="1">
      <alignment horizontal="right"/>
    </xf>
    <xf numFmtId="0" fontId="25" fillId="6" borderId="31" xfId="0" applyFont="1" applyFill="1" applyBorder="1"/>
    <xf numFmtId="4" fontId="4" fillId="7" borderId="141" xfId="0" applyNumberFormat="1" applyFont="1" applyFill="1" applyBorder="1" applyAlignment="1" applyProtection="1">
      <alignment vertical="center" wrapText="1"/>
      <protection locked="0"/>
    </xf>
    <xf numFmtId="10" fontId="40" fillId="7" borderId="142" xfId="0" applyNumberFormat="1" applyFont="1" applyFill="1" applyBorder="1" applyAlignment="1">
      <alignment horizontal="right"/>
    </xf>
    <xf numFmtId="4" fontId="5" fillId="7" borderId="141" xfId="0" applyNumberFormat="1" applyFont="1" applyFill="1" applyBorder="1" applyAlignment="1" applyProtection="1">
      <alignment vertical="center" wrapText="1"/>
      <protection locked="0"/>
    </xf>
    <xf numFmtId="10" fontId="52" fillId="7" borderId="142" xfId="0" applyNumberFormat="1" applyFont="1" applyFill="1" applyBorder="1" applyAlignment="1">
      <alignment horizontal="right"/>
    </xf>
    <xf numFmtId="10" fontId="40" fillId="7" borderId="143" xfId="0" applyNumberFormat="1" applyFont="1" applyFill="1" applyBorder="1" applyAlignment="1">
      <alignment horizontal="right"/>
    </xf>
    <xf numFmtId="0" fontId="53" fillId="10" borderId="11" xfId="0" applyFont="1" applyFill="1" applyBorder="1"/>
    <xf numFmtId="9" fontId="40" fillId="10" borderId="11" xfId="0" applyNumberFormat="1" applyFont="1" applyFill="1" applyBorder="1" applyAlignment="1">
      <alignment horizontal="center"/>
    </xf>
    <xf numFmtId="9" fontId="54" fillId="10" borderId="11" xfId="0" applyNumberFormat="1" applyFont="1" applyFill="1" applyBorder="1" applyAlignment="1">
      <alignment vertical="top"/>
    </xf>
    <xf numFmtId="0" fontId="16" fillId="10" borderId="11" xfId="0" applyFont="1" applyFill="1" applyBorder="1" applyAlignment="1">
      <alignment horizontal="center"/>
    </xf>
    <xf numFmtId="2" fontId="26" fillId="5" borderId="11" xfId="0" applyNumberFormat="1" applyFont="1" applyFill="1" applyBorder="1" applyAlignment="1">
      <alignment horizontal="center" vertical="center" wrapText="1"/>
    </xf>
    <xf numFmtId="0" fontId="14" fillId="10" borderId="11" xfId="0" applyFont="1" applyFill="1" applyBorder="1" applyAlignment="1">
      <alignment vertical="center"/>
    </xf>
    <xf numFmtId="0" fontId="16" fillId="10" borderId="159" xfId="0" applyFont="1" applyFill="1" applyBorder="1" applyAlignment="1">
      <alignment horizontal="center"/>
    </xf>
    <xf numFmtId="0" fontId="16" fillId="10" borderId="37" xfId="0" applyFont="1" applyFill="1" applyBorder="1" applyAlignment="1">
      <alignment horizontal="center"/>
    </xf>
    <xf numFmtId="9" fontId="16" fillId="10" borderId="37" xfId="0" applyNumberFormat="1" applyFont="1" applyFill="1" applyBorder="1" applyAlignment="1">
      <alignment horizontal="center"/>
    </xf>
    <xf numFmtId="0" fontId="16" fillId="10" borderId="160" xfId="0" applyFont="1" applyFill="1" applyBorder="1" applyAlignment="1">
      <alignment horizontal="center"/>
    </xf>
    <xf numFmtId="4" fontId="11" fillId="10" borderId="48" xfId="0" applyNumberFormat="1" applyFont="1" applyFill="1" applyBorder="1" applyAlignment="1">
      <alignment horizontal="left" vertical="center"/>
    </xf>
    <xf numFmtId="4" fontId="7" fillId="10" borderId="161" xfId="0" applyNumberFormat="1" applyFont="1" applyFill="1" applyBorder="1" applyAlignment="1">
      <alignment horizontal="left" vertical="center"/>
    </xf>
    <xf numFmtId="4" fontId="7" fillId="10" borderId="162" xfId="0" applyNumberFormat="1" applyFont="1" applyFill="1" applyBorder="1" applyAlignment="1">
      <alignment horizontal="left" vertical="center"/>
    </xf>
    <xf numFmtId="1" fontId="7" fillId="10" borderId="162" xfId="0" applyNumberFormat="1" applyFont="1" applyFill="1" applyBorder="1" applyAlignment="1" applyProtection="1">
      <alignment horizontal="center" vertical="center" wrapText="1"/>
      <protection locked="0"/>
    </xf>
    <xf numFmtId="9" fontId="7" fillId="10" borderId="162" xfId="0" applyNumberFormat="1" applyFont="1" applyFill="1" applyBorder="1" applyAlignment="1" applyProtection="1">
      <alignment horizontal="center" vertical="center" wrapText="1"/>
      <protection locked="0"/>
    </xf>
    <xf numFmtId="1" fontId="7" fillId="10" borderId="163" xfId="0" applyNumberFormat="1" applyFont="1" applyFill="1" applyBorder="1" applyAlignment="1" applyProtection="1">
      <alignment horizontal="center" vertical="center" wrapText="1"/>
      <protection locked="0"/>
    </xf>
    <xf numFmtId="0" fontId="7" fillId="9" borderId="144" xfId="0" applyFont="1" applyFill="1" applyBorder="1" applyAlignment="1">
      <alignment horizontal="left" vertical="center"/>
    </xf>
    <xf numFmtId="0" fontId="31" fillId="9" borderId="43" xfId="0" applyFont="1" applyFill="1" applyBorder="1" applyAlignment="1">
      <alignment horizontal="left" vertical="center"/>
    </xf>
    <xf numFmtId="0" fontId="31" fillId="9" borderId="43" xfId="0" applyFont="1" applyFill="1" applyBorder="1" applyAlignment="1">
      <alignment horizontal="left" vertical="center" wrapText="1"/>
    </xf>
    <xf numFmtId="4" fontId="33" fillId="9" borderId="49" xfId="0" applyNumberFormat="1" applyFont="1" applyFill="1" applyBorder="1" applyAlignment="1">
      <alignment vertical="center" wrapText="1"/>
    </xf>
    <xf numFmtId="4" fontId="31" fillId="9" borderId="140" xfId="0" applyNumberFormat="1" applyFont="1" applyFill="1" applyBorder="1" applyAlignment="1">
      <alignment vertical="center" wrapText="1"/>
    </xf>
    <xf numFmtId="0" fontId="9" fillId="4" borderId="20" xfId="0" applyFont="1" applyFill="1" applyBorder="1" applyAlignment="1">
      <alignment horizontal="left" vertical="center" wrapText="1"/>
    </xf>
    <xf numFmtId="4" fontId="9" fillId="4" borderId="50" xfId="0" applyNumberFormat="1" applyFont="1" applyFill="1" applyBorder="1" applyAlignment="1">
      <alignment vertical="center" wrapText="1"/>
    </xf>
    <xf numFmtId="4" fontId="9" fillId="4" borderId="10" xfId="0" applyNumberFormat="1" applyFont="1" applyFill="1" applyBorder="1" applyAlignment="1">
      <alignment vertical="center" wrapText="1"/>
    </xf>
    <xf numFmtId="4" fontId="9" fillId="4" borderId="131" xfId="0" applyNumberFormat="1" applyFont="1" applyFill="1" applyBorder="1" applyAlignment="1">
      <alignment vertical="center" wrapText="1"/>
    </xf>
    <xf numFmtId="0" fontId="4" fillId="6" borderId="52" xfId="0" applyFont="1" applyFill="1" applyBorder="1" applyAlignment="1" applyProtection="1">
      <alignment horizontal="left" vertical="top" wrapText="1"/>
      <protection locked="0"/>
    </xf>
    <xf numFmtId="0" fontId="26" fillId="6" borderId="52" xfId="0" applyFont="1" applyFill="1" applyBorder="1" applyAlignment="1" applyProtection="1">
      <alignment horizontal="left" vertical="top"/>
      <protection locked="0"/>
    </xf>
    <xf numFmtId="0" fontId="32" fillId="6" borderId="52" xfId="0" applyFont="1" applyFill="1" applyBorder="1" applyAlignment="1" applyProtection="1">
      <alignment horizontal="left" vertical="top"/>
      <protection locked="0"/>
    </xf>
    <xf numFmtId="4" fontId="4" fillId="6" borderId="52" xfId="0" applyNumberFormat="1" applyFont="1" applyFill="1" applyBorder="1" applyAlignment="1" applyProtection="1">
      <alignment vertical="top" wrapText="1"/>
      <protection locked="0"/>
    </xf>
    <xf numFmtId="4" fontId="4" fillId="2" borderId="8" xfId="0" applyNumberFormat="1" applyFont="1" applyFill="1" applyBorder="1" applyAlignment="1">
      <alignment horizontal="right" vertical="center" wrapText="1"/>
    </xf>
    <xf numFmtId="9" fontId="32" fillId="6" borderId="21" xfId="0" applyNumberFormat="1" applyFont="1" applyFill="1" applyBorder="1" applyAlignment="1" applyProtection="1">
      <alignment horizontal="right" vertical="center" wrapText="1"/>
      <protection locked="0"/>
    </xf>
    <xf numFmtId="4" fontId="5" fillId="2" borderId="10" xfId="0" applyNumberFormat="1" applyFont="1" applyFill="1" applyBorder="1" applyAlignment="1">
      <alignment horizontal="right" vertical="center" wrapText="1"/>
    </xf>
    <xf numFmtId="4" fontId="5" fillId="2" borderId="131" xfId="0" applyNumberFormat="1" applyFont="1" applyFill="1" applyBorder="1" applyAlignment="1">
      <alignment horizontal="right" vertical="center" wrapText="1"/>
    </xf>
    <xf numFmtId="0" fontId="55" fillId="0" borderId="0" xfId="0" applyFont="1"/>
    <xf numFmtId="0" fontId="5" fillId="4" borderId="20" xfId="0" applyFont="1" applyFill="1" applyBorder="1" applyAlignment="1">
      <alignment horizontal="left" vertical="center" wrapText="1"/>
    </xf>
    <xf numFmtId="4" fontId="9" fillId="4" borderId="50" xfId="0" applyNumberFormat="1" applyFont="1" applyFill="1" applyBorder="1" applyAlignment="1">
      <alignment horizontal="left" vertical="center"/>
    </xf>
    <xf numFmtId="4" fontId="9" fillId="4" borderId="50" xfId="0" applyNumberFormat="1" applyFont="1" applyFill="1" applyBorder="1" applyAlignment="1" applyProtection="1">
      <alignment vertical="center" wrapText="1"/>
      <protection locked="0"/>
    </xf>
    <xf numFmtId="0" fontId="4" fillId="6" borderId="53" xfId="0" applyFont="1" applyFill="1" applyBorder="1" applyAlignment="1" applyProtection="1">
      <alignment horizontal="left" vertical="top" wrapText="1"/>
      <protection locked="0"/>
    </xf>
    <xf numFmtId="4" fontId="4" fillId="7" borderId="8" xfId="0" applyNumberFormat="1" applyFont="1" applyFill="1" applyBorder="1" applyAlignment="1">
      <alignment horizontal="right" vertical="center" wrapText="1"/>
    </xf>
    <xf numFmtId="9" fontId="32" fillId="6" borderId="51" xfId="0" applyNumberFormat="1" applyFont="1" applyFill="1" applyBorder="1" applyAlignment="1" applyProtection="1">
      <alignment horizontal="right" vertical="center" wrapText="1"/>
      <protection locked="0"/>
    </xf>
    <xf numFmtId="4" fontId="5" fillId="7" borderId="10" xfId="0" applyNumberFormat="1" applyFont="1" applyFill="1" applyBorder="1" applyAlignment="1">
      <alignment horizontal="right" vertical="center" wrapText="1"/>
    </xf>
    <xf numFmtId="4" fontId="5" fillId="7" borderId="131" xfId="0" applyNumberFormat="1" applyFont="1" applyFill="1" applyBorder="1" applyAlignment="1">
      <alignment horizontal="right" vertical="center" wrapText="1"/>
    </xf>
    <xf numFmtId="0" fontId="4" fillId="6" borderId="134" xfId="0" applyFont="1" applyFill="1" applyBorder="1" applyAlignment="1" applyProtection="1">
      <alignment horizontal="left" vertical="top" wrapText="1"/>
      <protection locked="0"/>
    </xf>
    <xf numFmtId="0" fontId="26" fillId="6" borderId="135" xfId="0" applyFont="1" applyFill="1" applyBorder="1" applyAlignment="1" applyProtection="1">
      <alignment horizontal="left" vertical="top"/>
      <protection locked="0"/>
    </xf>
    <xf numFmtId="0" fontId="32" fillId="6" borderId="135" xfId="0" applyFont="1" applyFill="1" applyBorder="1" applyAlignment="1" applyProtection="1">
      <alignment horizontal="left" vertical="top"/>
      <protection locked="0"/>
    </xf>
    <xf numFmtId="4" fontId="4" fillId="6" borderId="135" xfId="0" applyNumberFormat="1" applyFont="1" applyFill="1" applyBorder="1" applyAlignment="1" applyProtection="1">
      <alignment vertical="top" wrapText="1"/>
      <protection locked="0"/>
    </xf>
    <xf numFmtId="4" fontId="4" fillId="7" borderId="136" xfId="0" applyNumberFormat="1" applyFont="1" applyFill="1" applyBorder="1" applyAlignment="1">
      <alignment horizontal="right" vertical="center" wrapText="1"/>
    </xf>
    <xf numFmtId="9" fontId="32" fillId="6" borderId="137" xfId="0" applyNumberFormat="1" applyFont="1" applyFill="1" applyBorder="1" applyAlignment="1" applyProtection="1">
      <alignment horizontal="right" vertical="center" wrapText="1"/>
      <protection locked="0"/>
    </xf>
    <xf numFmtId="4" fontId="5" fillId="7" borderId="129" xfId="0" applyNumberFormat="1" applyFont="1" applyFill="1" applyBorder="1" applyAlignment="1">
      <alignment horizontal="right" vertical="center" wrapText="1"/>
    </xf>
    <xf numFmtId="4" fontId="5" fillId="7" borderId="132" xfId="0" applyNumberFormat="1" applyFont="1" applyFill="1" applyBorder="1" applyAlignment="1">
      <alignment horizontal="right" vertical="center" wrapText="1"/>
    </xf>
    <xf numFmtId="0" fontId="12" fillId="16" borderId="149" xfId="0" applyFont="1" applyFill="1" applyBorder="1" applyAlignment="1">
      <alignment wrapText="1"/>
    </xf>
    <xf numFmtId="0" fontId="16" fillId="10" borderId="12" xfId="0" applyFont="1" applyFill="1" applyBorder="1" applyAlignment="1">
      <alignment horizontal="left"/>
    </xf>
    <xf numFmtId="0" fontId="54" fillId="10" borderId="11" xfId="0" applyFont="1" applyFill="1" applyBorder="1" applyAlignment="1">
      <alignment vertical="top"/>
    </xf>
    <xf numFmtId="0" fontId="16" fillId="10" borderId="0" xfId="0" applyFont="1" applyFill="1" applyAlignment="1">
      <alignment horizontal="center"/>
    </xf>
    <xf numFmtId="4" fontId="31" fillId="9" borderId="26" xfId="0" applyNumberFormat="1" applyFont="1" applyFill="1" applyBorder="1" applyAlignment="1">
      <alignment horizontal="left"/>
    </xf>
    <xf numFmtId="4" fontId="31" fillId="9" borderId="27" xfId="0" applyNumberFormat="1" applyFont="1" applyFill="1" applyBorder="1" applyAlignment="1">
      <alignment horizontal="center"/>
    </xf>
    <xf numFmtId="1" fontId="31" fillId="9" borderId="27" xfId="0" applyNumberFormat="1" applyFont="1" applyFill="1" applyBorder="1" applyAlignment="1" applyProtection="1">
      <alignment horizontal="center"/>
      <protection locked="0"/>
    </xf>
    <xf numFmtId="1" fontId="29" fillId="9" borderId="28" xfId="0" applyNumberFormat="1" applyFont="1" applyFill="1" applyBorder="1" applyAlignment="1" applyProtection="1">
      <alignment horizontal="center" wrapText="1"/>
      <protection locked="0"/>
    </xf>
    <xf numFmtId="4" fontId="56" fillId="7" borderId="19" xfId="0" applyNumberFormat="1" applyFont="1" applyFill="1" applyBorder="1" applyAlignment="1">
      <alignment vertical="center" wrapText="1"/>
    </xf>
    <xf numFmtId="4" fontId="56" fillId="7" borderId="115" xfId="0" applyNumberFormat="1" applyFont="1" applyFill="1" applyBorder="1" applyAlignment="1">
      <alignment vertical="center" wrapText="1"/>
    </xf>
    <xf numFmtId="10" fontId="57" fillId="7" borderId="19" xfId="1" applyNumberFormat="1" applyFont="1" applyFill="1" applyBorder="1" applyAlignment="1">
      <alignment vertical="center" wrapText="1"/>
    </xf>
    <xf numFmtId="4" fontId="5" fillId="7" borderId="115" xfId="0" applyNumberFormat="1" applyFont="1" applyFill="1" applyBorder="1" applyAlignment="1">
      <alignment vertical="center" wrapText="1"/>
    </xf>
    <xf numFmtId="4" fontId="4" fillId="2" borderId="10" xfId="0" applyNumberFormat="1" applyFont="1" applyFill="1" applyBorder="1" applyAlignment="1">
      <alignment horizontal="right" vertical="center" wrapText="1"/>
    </xf>
    <xf numFmtId="10" fontId="58" fillId="11" borderId="0" xfId="1" applyNumberFormat="1" applyFont="1" applyFill="1"/>
    <xf numFmtId="4" fontId="4" fillId="2" borderId="131" xfId="0" applyNumberFormat="1" applyFont="1" applyFill="1" applyBorder="1" applyAlignment="1">
      <alignment horizontal="right" vertical="center" wrapText="1"/>
    </xf>
    <xf numFmtId="4" fontId="4" fillId="7" borderId="10" xfId="0" applyNumberFormat="1" applyFont="1" applyFill="1" applyBorder="1" applyAlignment="1">
      <alignment horizontal="right" vertical="center" wrapText="1"/>
    </xf>
    <xf numFmtId="10" fontId="58" fillId="6" borderId="0" xfId="1" applyNumberFormat="1" applyFont="1" applyFill="1"/>
    <xf numFmtId="4" fontId="4" fillId="7" borderId="131" xfId="0" applyNumberFormat="1" applyFont="1" applyFill="1" applyBorder="1" applyAlignment="1">
      <alignment horizontal="right" vertical="center" wrapText="1"/>
    </xf>
    <xf numFmtId="0" fontId="0" fillId="6" borderId="10" xfId="0" applyFont="1" applyFill="1" applyBorder="1" applyAlignment="1" applyProtection="1">
      <alignment vertical="center" wrapText="1"/>
      <protection locked="0"/>
    </xf>
    <xf numFmtId="0" fontId="0" fillId="6" borderId="40" xfId="0" applyFont="1" applyFill="1" applyBorder="1" applyAlignment="1" applyProtection="1">
      <alignment vertical="center" wrapText="1"/>
      <protection locked="0"/>
    </xf>
    <xf numFmtId="10" fontId="58" fillId="11" borderId="0" xfId="0" applyNumberFormat="1" applyFont="1" applyFill="1" applyAlignment="1">
      <alignment horizontal="right"/>
    </xf>
    <xf numFmtId="10" fontId="58" fillId="6" borderId="0" xfId="0" applyNumberFormat="1" applyFont="1" applyFill="1" applyAlignment="1">
      <alignment horizontal="right"/>
    </xf>
    <xf numFmtId="0" fontId="25" fillId="11" borderId="31" xfId="0" applyFont="1" applyFill="1" applyBorder="1"/>
    <xf numFmtId="4" fontId="4" fillId="6" borderId="120" xfId="0" applyNumberFormat="1" applyFont="1" applyFill="1" applyBorder="1" applyAlignment="1" applyProtection="1">
      <alignment vertical="center" wrapText="1"/>
      <protection locked="0"/>
    </xf>
    <xf numFmtId="10" fontId="40" fillId="11" borderId="32" xfId="0" applyNumberFormat="1" applyFont="1" applyFill="1" applyBorder="1" applyAlignment="1">
      <alignment horizontal="right"/>
    </xf>
    <xf numFmtId="4" fontId="4" fillId="2" borderId="129" xfId="0" applyNumberFormat="1" applyFont="1" applyFill="1" applyBorder="1" applyAlignment="1">
      <alignment horizontal="right" vertical="center" wrapText="1"/>
    </xf>
    <xf numFmtId="10" fontId="58" fillId="11" borderId="32" xfId="0" applyNumberFormat="1" applyFont="1" applyFill="1" applyBorder="1" applyAlignment="1">
      <alignment horizontal="right"/>
    </xf>
    <xf numFmtId="4" fontId="4" fillId="2" borderId="132" xfId="0" applyNumberFormat="1" applyFont="1" applyFill="1" applyBorder="1" applyAlignment="1">
      <alignment horizontal="right" vertical="center" wrapText="1"/>
    </xf>
    <xf numFmtId="4" fontId="19" fillId="10" borderId="12" xfId="0" applyNumberFormat="1" applyFont="1" applyFill="1" applyBorder="1"/>
    <xf numFmtId="10" fontId="40" fillId="10" borderId="0" xfId="0" applyNumberFormat="1" applyFont="1" applyFill="1" applyAlignment="1">
      <alignment horizontal="center"/>
    </xf>
    <xf numFmtId="10" fontId="40" fillId="10" borderId="24" xfId="0" applyNumberFormat="1" applyFont="1" applyFill="1" applyBorder="1" applyAlignment="1">
      <alignment horizontal="center"/>
    </xf>
    <xf numFmtId="0" fontId="54" fillId="10" borderId="22" xfId="0" applyFont="1" applyFill="1" applyBorder="1" applyAlignment="1">
      <alignment vertical="top"/>
    </xf>
    <xf numFmtId="164" fontId="22" fillId="10" borderId="22" xfId="2" applyFont="1" applyFill="1" applyBorder="1" applyAlignment="1">
      <alignment vertical="top"/>
    </xf>
    <xf numFmtId="0" fontId="54" fillId="10" borderId="23" xfId="0" applyFont="1" applyFill="1" applyBorder="1" applyAlignment="1">
      <alignment vertical="top"/>
    </xf>
    <xf numFmtId="4" fontId="59" fillId="7" borderId="19" xfId="0" applyNumberFormat="1" applyFont="1" applyFill="1" applyBorder="1" applyAlignment="1">
      <alignment vertical="center" wrapText="1"/>
    </xf>
    <xf numFmtId="4" fontId="5" fillId="20" borderId="10" xfId="0" applyNumberFormat="1" applyFont="1" applyFill="1" applyBorder="1" applyAlignment="1">
      <alignment vertical="center" wrapText="1"/>
    </xf>
    <xf numFmtId="0" fontId="9" fillId="20" borderId="29" xfId="0" applyFont="1" applyFill="1" applyBorder="1" applyAlignment="1">
      <alignment horizontal="left" vertical="center" wrapText="1"/>
    </xf>
    <xf numFmtId="0" fontId="9" fillId="20" borderId="0" xfId="0" applyFont="1" applyFill="1" applyAlignment="1">
      <alignment horizontal="left" vertical="center" wrapText="1"/>
    </xf>
    <xf numFmtId="1" fontId="29" fillId="20" borderId="41" xfId="0" applyNumberFormat="1" applyFont="1" applyFill="1" applyBorder="1" applyAlignment="1">
      <alignment horizontal="center"/>
    </xf>
    <xf numFmtId="1" fontId="29" fillId="20" borderId="114" xfId="0" applyNumberFormat="1" applyFont="1" applyFill="1" applyBorder="1" applyAlignment="1">
      <alignment horizontal="center"/>
    </xf>
    <xf numFmtId="10" fontId="26" fillId="6" borderId="21" xfId="0" applyNumberFormat="1" applyFont="1" applyFill="1" applyBorder="1" applyAlignment="1" applyProtection="1">
      <alignment vertical="center" wrapText="1"/>
      <protection locked="0"/>
    </xf>
    <xf numFmtId="4" fontId="4" fillId="6" borderId="116" xfId="0" applyNumberFormat="1" applyFont="1" applyFill="1" applyBorder="1" applyAlignment="1" applyProtection="1">
      <alignment vertical="center" wrapText="1"/>
      <protection locked="0"/>
    </xf>
    <xf numFmtId="4" fontId="31" fillId="9" borderId="27" xfId="0" applyNumberFormat="1" applyFont="1" applyFill="1" applyBorder="1" applyAlignment="1">
      <alignment horizontal="left" vertical="center"/>
    </xf>
    <xf numFmtId="4" fontId="31" fillId="9" borderId="28" xfId="0" applyNumberFormat="1" applyFont="1" applyFill="1" applyBorder="1" applyAlignment="1">
      <alignment horizontal="left" vertical="center"/>
    </xf>
    <xf numFmtId="1" fontId="31" fillId="9" borderId="41" xfId="0" applyNumberFormat="1" applyFont="1" applyFill="1" applyBorder="1" applyAlignment="1">
      <alignment horizontal="center"/>
    </xf>
    <xf numFmtId="1" fontId="31" fillId="9" borderId="114" xfId="0" applyNumberFormat="1" applyFont="1" applyFill="1" applyBorder="1" applyAlignment="1">
      <alignment horizontal="center"/>
    </xf>
    <xf numFmtId="4" fontId="4" fillId="5" borderId="120" xfId="0" applyNumberFormat="1" applyFont="1" applyFill="1" applyBorder="1" applyAlignment="1">
      <alignment vertical="center" wrapText="1"/>
    </xf>
    <xf numFmtId="4" fontId="4" fillId="6" borderId="121" xfId="0" applyNumberFormat="1" applyFont="1" applyFill="1" applyBorder="1" applyAlignment="1" applyProtection="1">
      <alignment vertical="center" wrapText="1"/>
      <protection locked="0"/>
    </xf>
    <xf numFmtId="4" fontId="4" fillId="0" borderId="0" xfId="0" applyNumberFormat="1" applyFont="1"/>
    <xf numFmtId="10" fontId="48" fillId="0" borderId="0" xfId="0" applyNumberFormat="1" applyFont="1"/>
    <xf numFmtId="4" fontId="39" fillId="0" borderId="0" xfId="0" applyNumberFormat="1" applyFont="1" applyAlignment="1">
      <alignment horizontal="center"/>
    </xf>
    <xf numFmtId="0" fontId="11" fillId="6" borderId="26" xfId="0" applyFont="1" applyFill="1" applyBorder="1" applyAlignment="1">
      <alignment horizontal="left" wrapText="1"/>
    </xf>
    <xf numFmtId="0" fontId="4" fillId="6" borderId="26" xfId="0" applyFont="1" applyFill="1" applyBorder="1" applyAlignment="1">
      <alignment horizontal="left" wrapText="1"/>
    </xf>
    <xf numFmtId="0" fontId="0" fillId="6" borderId="27" xfId="0" applyFont="1" applyFill="1" applyBorder="1" applyAlignment="1">
      <alignment horizontal="left"/>
    </xf>
    <xf numFmtId="0" fontId="26" fillId="6" borderId="27" xfId="0" applyFont="1" applyFill="1" applyBorder="1"/>
    <xf numFmtId="0" fontId="11" fillId="6" borderId="29" xfId="0" applyFont="1" applyFill="1" applyBorder="1" applyAlignment="1">
      <alignment horizontal="left" vertical="center" wrapText="1"/>
    </xf>
    <xf numFmtId="0" fontId="4" fillId="6" borderId="29" xfId="0" applyFont="1" applyFill="1" applyBorder="1" applyAlignment="1">
      <alignment horizontal="right" vertical="center" wrapText="1"/>
    </xf>
    <xf numFmtId="0" fontId="0" fillId="6" borderId="0" xfId="0" applyFont="1" applyFill="1" applyAlignment="1">
      <alignment horizontal="left" vertical="center"/>
    </xf>
    <xf numFmtId="167" fontId="26" fillId="6" borderId="0" xfId="0" applyNumberFormat="1" applyFont="1" applyFill="1" applyAlignment="1">
      <alignment vertical="center"/>
    </xf>
    <xf numFmtId="4" fontId="39" fillId="0" borderId="0" xfId="0" applyNumberFormat="1" applyFont="1" applyAlignment="1">
      <alignment horizontal="center" vertical="center"/>
    </xf>
    <xf numFmtId="10" fontId="48" fillId="0" borderId="0" xfId="0" applyNumberFormat="1" applyFont="1" applyAlignment="1">
      <alignment vertical="center"/>
    </xf>
    <xf numFmtId="0" fontId="9" fillId="6" borderId="0" xfId="0" applyFont="1" applyFill="1" applyAlignment="1">
      <alignment horizontal="left" vertical="center"/>
    </xf>
    <xf numFmtId="0" fontId="26" fillId="6" borderId="0" xfId="0" applyFont="1" applyFill="1" applyAlignment="1">
      <alignment vertical="center"/>
    </xf>
    <xf numFmtId="0" fontId="11" fillId="6" borderId="29" xfId="0" applyFont="1" applyFill="1" applyBorder="1" applyAlignment="1">
      <alignment horizontal="left" wrapText="1"/>
    </xf>
    <xf numFmtId="0" fontId="4" fillId="6" borderId="29" xfId="0" applyFont="1" applyFill="1" applyBorder="1" applyAlignment="1">
      <alignment horizontal="left" wrapText="1"/>
    </xf>
    <xf numFmtId="0" fontId="0" fillId="6" borderId="0" xfId="0" applyFont="1" applyFill="1" applyAlignment="1">
      <alignment horizontal="left"/>
    </xf>
    <xf numFmtId="0" fontId="26" fillId="6" borderId="0" xfId="0" applyFont="1" applyFill="1"/>
    <xf numFmtId="0" fontId="11" fillId="0" borderId="31" xfId="0" applyFont="1" applyBorder="1" applyAlignment="1">
      <alignment horizontal="left" wrapText="1"/>
    </xf>
    <xf numFmtId="0" fontId="4" fillId="0" borderId="31" xfId="0" applyFont="1" applyBorder="1" applyAlignment="1">
      <alignment horizontal="left" wrapText="1"/>
    </xf>
    <xf numFmtId="0" fontId="26" fillId="0" borderId="32" xfId="0" applyFont="1" applyBorder="1"/>
    <xf numFmtId="0" fontId="11" fillId="0" borderId="0" xfId="0" applyFont="1" applyAlignment="1" applyProtection="1">
      <alignment horizontal="left"/>
      <protection locked="0"/>
    </xf>
    <xf numFmtId="0" fontId="4"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26" fillId="0" borderId="0" xfId="0" applyFont="1" applyAlignment="1" applyProtection="1">
      <alignment wrapText="1"/>
      <protection locked="0"/>
    </xf>
    <xf numFmtId="4" fontId="39" fillId="0" borderId="0" xfId="0" applyNumberFormat="1" applyFont="1" applyAlignment="1" applyProtection="1">
      <alignment horizontal="center"/>
      <protection locked="0"/>
    </xf>
    <xf numFmtId="0" fontId="60" fillId="12" borderId="0" xfId="0" applyFont="1" applyFill="1" applyAlignment="1">
      <alignment horizontal="left"/>
    </xf>
    <xf numFmtId="0" fontId="11" fillId="0" borderId="0" xfId="0" applyFont="1"/>
    <xf numFmtId="0" fontId="62" fillId="6" borderId="0" xfId="0" applyFont="1" applyFill="1" applyAlignment="1">
      <alignment horizontal="left" vertical="top" wrapText="1"/>
    </xf>
    <xf numFmtId="0" fontId="0" fillId="0" borderId="0" xfId="0" applyFont="1" applyProtection="1">
      <protection locked="0"/>
    </xf>
    <xf numFmtId="1" fontId="31" fillId="9" borderId="27" xfId="0" applyNumberFormat="1" applyFont="1" applyFill="1" applyBorder="1" applyAlignment="1">
      <alignment horizontal="center"/>
    </xf>
    <xf numFmtId="1" fontId="31" fillId="9" borderId="28" xfId="0" applyNumberFormat="1" applyFont="1" applyFill="1" applyBorder="1" applyAlignment="1">
      <alignment horizontal="center"/>
    </xf>
    <xf numFmtId="10" fontId="45" fillId="4" borderId="3" xfId="1" applyNumberFormat="1" applyFont="1" applyFill="1" applyBorder="1" applyAlignment="1">
      <alignment horizontal="center" vertical="center" wrapText="1"/>
    </xf>
    <xf numFmtId="10" fontId="45" fillId="18" borderId="3" xfId="1" applyNumberFormat="1" applyFont="1" applyFill="1" applyBorder="1" applyAlignment="1">
      <alignment horizontal="center" vertical="center" wrapText="1"/>
    </xf>
    <xf numFmtId="4" fontId="63" fillId="7" borderId="44" xfId="0" applyNumberFormat="1" applyFont="1" applyFill="1" applyBorder="1" applyAlignment="1">
      <alignment vertical="center" wrapText="1"/>
    </xf>
    <xf numFmtId="4" fontId="5" fillId="7" borderId="44" xfId="0" applyNumberFormat="1" applyFont="1" applyFill="1" applyBorder="1" applyAlignment="1">
      <alignment vertical="center" wrapText="1"/>
    </xf>
    <xf numFmtId="4" fontId="64" fillId="7" borderId="44" xfId="0" applyNumberFormat="1" applyFont="1" applyFill="1" applyBorder="1" applyAlignment="1">
      <alignment vertical="center" wrapText="1"/>
    </xf>
    <xf numFmtId="4" fontId="63" fillId="7" borderId="145" xfId="0" applyNumberFormat="1" applyFont="1" applyFill="1" applyBorder="1" applyAlignment="1">
      <alignment vertical="center" wrapText="1"/>
    </xf>
    <xf numFmtId="0" fontId="4" fillId="2" borderId="54" xfId="0" applyFont="1" applyFill="1" applyBorder="1" applyAlignment="1">
      <alignment horizontal="left" vertical="center" wrapText="1"/>
    </xf>
    <xf numFmtId="4" fontId="25" fillId="6" borderId="21" xfId="0" applyNumberFormat="1" applyFont="1" applyFill="1" applyBorder="1" applyAlignment="1" applyProtection="1">
      <alignment vertical="center" wrapText="1"/>
      <protection locked="0"/>
    </xf>
    <xf numFmtId="4" fontId="17" fillId="2" borderId="21" xfId="0" applyNumberFormat="1" applyFont="1" applyFill="1" applyBorder="1" applyAlignment="1">
      <alignment vertical="center" wrapText="1"/>
    </xf>
    <xf numFmtId="4" fontId="25" fillId="6" borderId="116" xfId="0" applyNumberFormat="1" applyFont="1" applyFill="1" applyBorder="1" applyAlignment="1" applyProtection="1">
      <alignment vertical="center" wrapText="1"/>
      <protection locked="0"/>
    </xf>
    <xf numFmtId="4" fontId="4" fillId="7" borderId="21" xfId="0" applyNumberFormat="1" applyFont="1" applyFill="1" applyBorder="1" applyAlignment="1">
      <alignment vertical="center" wrapText="1"/>
    </xf>
    <xf numFmtId="4" fontId="5" fillId="7" borderId="21" xfId="0" applyNumberFormat="1" applyFont="1" applyFill="1" applyBorder="1" applyAlignment="1">
      <alignment vertical="center" wrapText="1"/>
    </xf>
    <xf numFmtId="4" fontId="4" fillId="7" borderId="116" xfId="0" applyNumberFormat="1" applyFont="1" applyFill="1" applyBorder="1" applyAlignment="1">
      <alignment vertical="center" wrapText="1"/>
    </xf>
    <xf numFmtId="0" fontId="4" fillId="11" borderId="55" xfId="0" applyFont="1" applyFill="1" applyBorder="1" applyAlignment="1">
      <alignment horizontal="left" vertical="center" wrapText="1"/>
    </xf>
    <xf numFmtId="4" fontId="5" fillId="11" borderId="21" xfId="0" applyNumberFormat="1" applyFont="1" applyFill="1" applyBorder="1" applyAlignment="1">
      <alignment vertical="center" wrapText="1"/>
    </xf>
    <xf numFmtId="4" fontId="4" fillId="11" borderId="116" xfId="0" applyNumberFormat="1" applyFont="1" applyFill="1" applyBorder="1" applyAlignment="1">
      <alignment vertical="center" wrapText="1"/>
    </xf>
    <xf numFmtId="4" fontId="5" fillId="6" borderId="21" xfId="0" applyNumberFormat="1" applyFont="1" applyFill="1" applyBorder="1" applyAlignment="1">
      <alignment vertical="center" wrapText="1"/>
    </xf>
    <xf numFmtId="4" fontId="65" fillId="7" borderId="145" xfId="0" applyNumberFormat="1" applyFont="1" applyFill="1" applyBorder="1" applyAlignment="1">
      <alignment vertical="center" wrapText="1"/>
    </xf>
    <xf numFmtId="4" fontId="66" fillId="6" borderId="21" xfId="0" applyNumberFormat="1" applyFont="1" applyFill="1" applyBorder="1" applyAlignment="1" applyProtection="1">
      <alignment vertical="center" wrapText="1"/>
      <protection locked="0"/>
    </xf>
    <xf numFmtId="4" fontId="63" fillId="6" borderId="21" xfId="0" applyNumberFormat="1" applyFont="1" applyFill="1" applyBorder="1" applyAlignment="1">
      <alignment vertical="center" wrapText="1"/>
    </xf>
    <xf numFmtId="0" fontId="8" fillId="0" borderId="0" xfId="0" applyFont="1" applyAlignment="1">
      <alignment horizontal="left"/>
    </xf>
    <xf numFmtId="0" fontId="67" fillId="0" borderId="0" xfId="0" applyFont="1" applyAlignment="1" applyProtection="1">
      <alignment horizontal="left"/>
      <protection locked="0"/>
    </xf>
    <xf numFmtId="0" fontId="5" fillId="2" borderId="1" xfId="0" applyFont="1" applyFill="1" applyBorder="1" applyAlignment="1">
      <alignment vertical="top" wrapText="1"/>
    </xf>
    <xf numFmtId="0" fontId="68" fillId="2" borderId="6" xfId="0" applyFont="1" applyFill="1" applyBorder="1" applyAlignment="1">
      <alignment horizontal="center" vertical="top" wrapText="1"/>
    </xf>
    <xf numFmtId="0" fontId="68" fillId="2" borderId="2" xfId="0" applyFont="1" applyFill="1" applyBorder="1" applyAlignment="1">
      <alignment horizontal="left" vertical="top" wrapText="1"/>
    </xf>
    <xf numFmtId="0" fontId="68" fillId="2" borderId="7" xfId="0" applyFont="1" applyFill="1" applyBorder="1" applyAlignment="1">
      <alignment vertical="top" wrapText="1"/>
    </xf>
    <xf numFmtId="9" fontId="68" fillId="2" borderId="2" xfId="1" applyFont="1" applyFill="1" applyBorder="1" applyAlignment="1">
      <alignment vertical="top" wrapText="1"/>
    </xf>
    <xf numFmtId="0" fontId="16" fillId="10" borderId="177" xfId="0" applyFont="1" applyFill="1" applyBorder="1" applyAlignment="1">
      <alignment horizontal="center"/>
    </xf>
    <xf numFmtId="0" fontId="16" fillId="10" borderId="178" xfId="0" applyFont="1" applyFill="1" applyBorder="1" applyAlignment="1">
      <alignment horizontal="left" wrapText="1"/>
    </xf>
    <xf numFmtId="0" fontId="11" fillId="12" borderId="179" xfId="0" applyFont="1" applyFill="1" applyBorder="1" applyAlignment="1">
      <alignment horizontal="left" vertical="center" wrapText="1"/>
    </xf>
    <xf numFmtId="0" fontId="16" fillId="10" borderId="158" xfId="0" applyFont="1" applyFill="1" applyBorder="1" applyAlignment="1">
      <alignment horizontal="left" wrapText="1"/>
    </xf>
    <xf numFmtId="0" fontId="14" fillId="10" borderId="15" xfId="0" applyFont="1" applyFill="1" applyBorder="1" applyAlignment="1">
      <alignment vertical="top"/>
    </xf>
    <xf numFmtId="0" fontId="32" fillId="4" borderId="0" xfId="0" applyFont="1" applyFill="1" applyBorder="1" applyAlignment="1">
      <alignment horizontal="left" vertical="center" wrapText="1"/>
    </xf>
    <xf numFmtId="0" fontId="21" fillId="22" borderId="180" xfId="0" applyFont="1" applyFill="1" applyBorder="1" applyAlignment="1">
      <alignment vertical="center" wrapText="1"/>
    </xf>
    <xf numFmtId="0" fontId="16" fillId="9" borderId="181" xfId="0" applyFont="1" applyFill="1" applyBorder="1" applyAlignment="1">
      <alignment vertical="center" wrapText="1"/>
    </xf>
    <xf numFmtId="4" fontId="9" fillId="4" borderId="182" xfId="0" applyNumberFormat="1" applyFont="1" applyFill="1" applyBorder="1" applyAlignment="1">
      <alignment vertical="center"/>
    </xf>
    <xf numFmtId="0" fontId="32" fillId="2" borderId="183" xfId="0" applyFont="1" applyFill="1" applyBorder="1" applyAlignment="1">
      <alignment vertical="center" wrapText="1"/>
    </xf>
    <xf numFmtId="0" fontId="32" fillId="7" borderId="183" xfId="0" applyFont="1" applyFill="1" applyBorder="1" applyAlignment="1">
      <alignment vertical="center" wrapText="1"/>
    </xf>
    <xf numFmtId="0" fontId="32" fillId="2" borderId="181" xfId="0" applyFont="1" applyFill="1" applyBorder="1" applyAlignment="1">
      <alignment vertical="center" wrapText="1"/>
    </xf>
    <xf numFmtId="2" fontId="32" fillId="3" borderId="184" xfId="0" applyNumberFormat="1" applyFont="1" applyFill="1" applyBorder="1" applyAlignment="1">
      <alignment vertical="center" wrapText="1"/>
    </xf>
    <xf numFmtId="0" fontId="32" fillId="4" borderId="184" xfId="0" applyFont="1" applyFill="1" applyBorder="1" applyAlignment="1">
      <alignment horizontal="left" vertical="center" wrapText="1"/>
    </xf>
    <xf numFmtId="0" fontId="32" fillId="2" borderId="185" xfId="0" applyFont="1" applyFill="1" applyBorder="1" applyAlignment="1">
      <alignment vertical="center" wrapText="1"/>
    </xf>
    <xf numFmtId="0" fontId="21" fillId="13" borderId="186" xfId="0" applyFont="1" applyFill="1" applyBorder="1" applyAlignment="1">
      <alignment vertical="center" wrapText="1"/>
    </xf>
    <xf numFmtId="0" fontId="16" fillId="4" borderId="187" xfId="0" applyFont="1" applyFill="1" applyBorder="1" applyAlignment="1">
      <alignment vertical="center" wrapText="1"/>
    </xf>
    <xf numFmtId="0" fontId="32" fillId="2" borderId="5" xfId="0" applyFont="1" applyFill="1" applyBorder="1" applyAlignment="1">
      <alignment vertical="center" wrapText="1"/>
    </xf>
    <xf numFmtId="0" fontId="32" fillId="7" borderId="5" xfId="0" applyFont="1" applyFill="1" applyBorder="1" applyAlignment="1">
      <alignment vertical="center" wrapText="1"/>
    </xf>
    <xf numFmtId="0" fontId="10" fillId="7" borderId="5" xfId="0" applyFont="1" applyFill="1" applyBorder="1" applyAlignment="1">
      <alignment vertical="center" wrapText="1"/>
    </xf>
    <xf numFmtId="0" fontId="10" fillId="2" borderId="5" xfId="0" applyFont="1" applyFill="1" applyBorder="1" applyAlignment="1">
      <alignment vertical="center" wrapText="1"/>
    </xf>
    <xf numFmtId="0" fontId="32" fillId="2" borderId="187" xfId="0" applyFont="1" applyFill="1" applyBorder="1" applyAlignment="1">
      <alignment vertical="center" wrapText="1"/>
    </xf>
    <xf numFmtId="2" fontId="32" fillId="3" borderId="0" xfId="0" applyNumberFormat="1" applyFont="1" applyFill="1" applyBorder="1" applyAlignment="1">
      <alignment vertical="center" wrapText="1"/>
    </xf>
    <xf numFmtId="0" fontId="32" fillId="2" borderId="188" xfId="0" applyFont="1" applyFill="1" applyBorder="1" applyAlignment="1">
      <alignment vertical="center" wrapText="1"/>
    </xf>
    <xf numFmtId="0" fontId="32" fillId="4" borderId="189" xfId="0" applyFont="1" applyFill="1" applyBorder="1" applyAlignment="1">
      <alignment vertical="center"/>
    </xf>
    <xf numFmtId="0" fontId="9" fillId="4" borderId="0" xfId="0" applyFont="1" applyFill="1" applyBorder="1" applyAlignment="1">
      <alignment horizontal="left" vertical="center"/>
    </xf>
    <xf numFmtId="0" fontId="9" fillId="4" borderId="0" xfId="0" applyFont="1" applyFill="1" applyBorder="1" applyAlignment="1">
      <alignment horizontal="center" vertical="center" wrapText="1"/>
    </xf>
    <xf numFmtId="0" fontId="9" fillId="4" borderId="0" xfId="0" applyFont="1" applyFill="1" applyBorder="1" applyAlignment="1">
      <alignment horizontal="left" vertical="center" wrapText="1"/>
    </xf>
    <xf numFmtId="2" fontId="35" fillId="4" borderId="0" xfId="0" applyNumberFormat="1" applyFont="1" applyFill="1" applyBorder="1" applyAlignment="1">
      <alignment horizontal="center" vertical="center" wrapText="1"/>
    </xf>
    <xf numFmtId="0" fontId="9" fillId="4" borderId="0" xfId="0" applyFont="1" applyFill="1" applyBorder="1" applyAlignment="1">
      <alignment vertical="center" wrapText="1"/>
    </xf>
    <xf numFmtId="10" fontId="35" fillId="4" borderId="0" xfId="1" applyNumberFormat="1" applyFont="1" applyFill="1" applyBorder="1" applyAlignment="1">
      <alignment horizontal="center" vertical="center" wrapText="1"/>
    </xf>
    <xf numFmtId="0" fontId="12" fillId="16" borderId="172" xfId="0" applyFont="1" applyFill="1" applyBorder="1" applyAlignment="1">
      <alignment wrapText="1"/>
    </xf>
    <xf numFmtId="4" fontId="16" fillId="10" borderId="11" xfId="0" applyNumberFormat="1" applyFont="1" applyFill="1" applyBorder="1"/>
    <xf numFmtId="0" fontId="34" fillId="8" borderId="27" xfId="0" applyFont="1" applyFill="1" applyBorder="1" applyAlignment="1">
      <alignment horizontal="right" vertical="center" wrapText="1"/>
    </xf>
    <xf numFmtId="0" fontId="32" fillId="0" borderId="32" xfId="0" applyFont="1" applyBorder="1" applyAlignment="1">
      <alignment horizontal="right"/>
    </xf>
    <xf numFmtId="0" fontId="32" fillId="5" borderId="17" xfId="0" applyFont="1" applyFill="1" applyBorder="1" applyAlignment="1">
      <alignment horizontal="left" vertical="center" wrapText="1"/>
    </xf>
    <xf numFmtId="0" fontId="32" fillId="11" borderId="17" xfId="0" applyFont="1" applyFill="1" applyBorder="1" applyAlignment="1">
      <alignment horizontal="left" vertical="center" wrapText="1"/>
    </xf>
    <xf numFmtId="0" fontId="32" fillId="5" borderId="72" xfId="0" applyFont="1" applyFill="1" applyBorder="1" applyAlignment="1">
      <alignment horizontal="left" vertical="center" wrapText="1"/>
    </xf>
    <xf numFmtId="0" fontId="34" fillId="8" borderId="27" xfId="0" applyFont="1" applyFill="1" applyBorder="1" applyAlignment="1">
      <alignment horizontal="right" vertical="center"/>
    </xf>
    <xf numFmtId="0" fontId="32" fillId="0" borderId="0" xfId="0" applyFont="1" applyAlignment="1">
      <alignment horizontal="right"/>
    </xf>
    <xf numFmtId="0" fontId="34" fillId="10" borderId="76" xfId="0" applyFont="1" applyFill="1" applyBorder="1" applyAlignment="1">
      <alignment horizontal="right" vertical="center"/>
    </xf>
    <xf numFmtId="0" fontId="14" fillId="10" borderId="22" xfId="0" applyFont="1" applyFill="1" applyBorder="1" applyAlignment="1">
      <alignment horizontal="center"/>
    </xf>
    <xf numFmtId="0" fontId="34" fillId="8" borderId="27" xfId="0" applyFont="1" applyFill="1" applyBorder="1" applyAlignment="1">
      <alignment horizontal="center" vertical="center" wrapText="1"/>
    </xf>
    <xf numFmtId="0" fontId="32" fillId="0" borderId="32" xfId="0" applyFont="1" applyBorder="1" applyAlignment="1">
      <alignment horizontal="left"/>
    </xf>
    <xf numFmtId="0" fontId="34" fillId="13" borderId="68" xfId="0" applyFont="1" applyFill="1" applyBorder="1" applyAlignment="1">
      <alignment horizontal="left" vertical="center" wrapText="1"/>
    </xf>
    <xf numFmtId="0" fontId="34" fillId="8" borderId="27" xfId="0" applyFont="1" applyFill="1" applyBorder="1" applyAlignment="1">
      <alignment vertical="center"/>
    </xf>
    <xf numFmtId="0" fontId="32" fillId="0" borderId="0" xfId="0" applyFont="1" applyAlignment="1">
      <alignment horizontal="left"/>
    </xf>
    <xf numFmtId="0" fontId="34" fillId="10" borderId="76" xfId="0" applyFont="1" applyFill="1" applyBorder="1" applyAlignment="1">
      <alignment horizontal="left" vertical="center"/>
    </xf>
    <xf numFmtId="0" fontId="31" fillId="16" borderId="149" xfId="0" applyFont="1" applyFill="1" applyBorder="1" applyAlignment="1">
      <alignment horizontal="right" wrapText="1"/>
    </xf>
    <xf numFmtId="0" fontId="7" fillId="16" borderId="149" xfId="0" applyFont="1" applyFill="1" applyBorder="1" applyAlignment="1">
      <alignment horizontal="right" vertical="center"/>
    </xf>
    <xf numFmtId="0" fontId="31" fillId="16" borderId="173" xfId="0" applyFont="1" applyFill="1" applyBorder="1" applyAlignment="1">
      <alignment horizontal="right" wrapText="1"/>
    </xf>
    <xf numFmtId="0" fontId="29" fillId="16" borderId="172" xfId="0" applyFont="1" applyFill="1" applyBorder="1" applyAlignment="1">
      <alignment wrapText="1"/>
    </xf>
    <xf numFmtId="4" fontId="16" fillId="10" borderId="11" xfId="0" applyNumberFormat="1" applyFont="1" applyFill="1" applyBorder="1" applyAlignment="1">
      <alignment wrapText="1"/>
    </xf>
    <xf numFmtId="0" fontId="14" fillId="10" borderId="11" xfId="0" applyFont="1" applyFill="1" applyBorder="1" applyAlignment="1">
      <alignment horizontal="center" wrapText="1"/>
    </xf>
    <xf numFmtId="0" fontId="14" fillId="10" borderId="11" xfId="0" applyFont="1" applyFill="1" applyBorder="1" applyAlignment="1">
      <alignment vertical="top" wrapText="1"/>
    </xf>
    <xf numFmtId="0" fontId="14" fillId="10" borderId="22" xfId="0" applyFont="1" applyFill="1" applyBorder="1" applyAlignment="1">
      <alignment horizontal="center" wrapText="1"/>
    </xf>
    <xf numFmtId="0" fontId="14" fillId="10" borderId="22" xfId="0" applyFont="1" applyFill="1" applyBorder="1" applyAlignment="1">
      <alignment vertical="top" wrapText="1"/>
    </xf>
    <xf numFmtId="0" fontId="16" fillId="10" borderId="155" xfId="0" applyFont="1" applyFill="1" applyBorder="1" applyAlignment="1">
      <alignment horizontal="center" wrapText="1"/>
    </xf>
    <xf numFmtId="0" fontId="34" fillId="8" borderId="27" xfId="0" applyFont="1" applyFill="1" applyBorder="1" applyAlignment="1">
      <alignment horizontal="left" vertical="center" wrapText="1"/>
    </xf>
    <xf numFmtId="0" fontId="32" fillId="0" borderId="32" xfId="0" applyFont="1" applyBorder="1" applyAlignment="1">
      <alignment horizontal="left" wrapText="1"/>
    </xf>
    <xf numFmtId="0" fontId="32" fillId="0" borderId="32" xfId="0" applyFont="1" applyBorder="1" applyAlignment="1">
      <alignment horizontal="right" wrapText="1"/>
    </xf>
    <xf numFmtId="0" fontId="32" fillId="11" borderId="94" xfId="0" applyFont="1" applyFill="1" applyBorder="1" applyAlignment="1">
      <alignment horizontal="left" vertical="center" wrapText="1"/>
    </xf>
    <xf numFmtId="0" fontId="32" fillId="11" borderId="95" xfId="0" applyFont="1" applyFill="1" applyBorder="1" applyAlignment="1">
      <alignment horizontal="left" vertical="center" wrapText="1"/>
    </xf>
    <xf numFmtId="0" fontId="32" fillId="11" borderId="96" xfId="0" applyFont="1" applyFill="1" applyBorder="1" applyAlignment="1">
      <alignment horizontal="left" vertical="center" wrapText="1"/>
    </xf>
    <xf numFmtId="0" fontId="32" fillId="11" borderId="0" xfId="0" applyFont="1" applyFill="1" applyAlignment="1">
      <alignment horizontal="left" vertical="center" wrapText="1"/>
    </xf>
    <xf numFmtId="0" fontId="32" fillId="11" borderId="97" xfId="0" applyFont="1" applyFill="1" applyBorder="1" applyAlignment="1">
      <alignment horizontal="left" vertical="center" wrapText="1"/>
    </xf>
    <xf numFmtId="0" fontId="32" fillId="11" borderId="98" xfId="0" applyFont="1" applyFill="1" applyBorder="1" applyAlignment="1">
      <alignment horizontal="left" vertical="center" wrapText="1"/>
    </xf>
    <xf numFmtId="0" fontId="32" fillId="11" borderId="99" xfId="0" applyFont="1" applyFill="1" applyBorder="1" applyAlignment="1">
      <alignment horizontal="left" vertical="center" wrapText="1"/>
    </xf>
    <xf numFmtId="0" fontId="32" fillId="11" borderId="100" xfId="0" applyFont="1" applyFill="1" applyBorder="1" applyAlignment="1">
      <alignment horizontal="left" vertical="center" wrapText="1"/>
    </xf>
    <xf numFmtId="0" fontId="32" fillId="6" borderId="90" xfId="0" applyFont="1" applyFill="1" applyBorder="1" applyAlignment="1" applyProtection="1">
      <alignment horizontal="left" vertical="center" wrapText="1"/>
      <protection locked="0"/>
    </xf>
    <xf numFmtId="0" fontId="32" fillId="6" borderId="190" xfId="0" applyFont="1" applyFill="1" applyBorder="1" applyAlignment="1" applyProtection="1">
      <alignment horizontal="left" vertical="center" wrapText="1"/>
      <protection locked="0"/>
    </xf>
    <xf numFmtId="0" fontId="32" fillId="0" borderId="0" xfId="0" applyFont="1" applyAlignment="1">
      <alignment horizontal="right" wrapText="1"/>
    </xf>
    <xf numFmtId="0" fontId="21" fillId="10" borderId="11" xfId="0" applyFont="1" applyFill="1" applyBorder="1" applyAlignment="1">
      <alignment horizontal="left" vertical="center" wrapText="1"/>
    </xf>
    <xf numFmtId="0" fontId="32" fillId="4" borderId="8" xfId="0" applyFont="1" applyFill="1" applyBorder="1" applyAlignment="1">
      <alignment horizontal="left" vertical="center" wrapText="1"/>
    </xf>
    <xf numFmtId="0" fontId="29" fillId="9" borderId="47" xfId="0" applyFont="1" applyFill="1" applyBorder="1" applyAlignment="1">
      <alignment vertical="center" wrapText="1"/>
    </xf>
    <xf numFmtId="0" fontId="34" fillId="4" borderId="0" xfId="0" applyFont="1" applyFill="1" applyBorder="1" applyAlignment="1">
      <alignment horizontal="left" vertical="center" wrapText="1"/>
    </xf>
    <xf numFmtId="0" fontId="34" fillId="4" borderId="8" xfId="0" applyFont="1" applyFill="1" applyBorder="1" applyAlignment="1">
      <alignment horizontal="left" vertical="center" wrapText="1"/>
    </xf>
    <xf numFmtId="0" fontId="32" fillId="5" borderId="99" xfId="0" applyFont="1" applyFill="1" applyBorder="1" applyAlignment="1">
      <alignment horizontal="left" vertical="center" wrapText="1"/>
    </xf>
    <xf numFmtId="0" fontId="32" fillId="5" borderId="100" xfId="0" applyFont="1" applyFill="1" applyBorder="1" applyAlignment="1">
      <alignment horizontal="left" vertical="center" wrapText="1"/>
    </xf>
    <xf numFmtId="0" fontId="32" fillId="5" borderId="96" xfId="0" applyFont="1" applyFill="1" applyBorder="1" applyAlignment="1">
      <alignment horizontal="left" vertical="center" wrapText="1"/>
    </xf>
    <xf numFmtId="0" fontId="32" fillId="5" borderId="0" xfId="0" applyFont="1" applyFill="1" applyAlignment="1">
      <alignment horizontal="left" vertical="center" wrapText="1"/>
    </xf>
    <xf numFmtId="0" fontId="32" fillId="5" borderId="97" xfId="0" applyFont="1" applyFill="1" applyBorder="1" applyAlignment="1">
      <alignment horizontal="left" vertical="center" wrapText="1"/>
    </xf>
    <xf numFmtId="0" fontId="32" fillId="5" borderId="98" xfId="0" applyFont="1" applyFill="1" applyBorder="1" applyAlignment="1">
      <alignment horizontal="left" vertical="center" wrapText="1"/>
    </xf>
    <xf numFmtId="0" fontId="32" fillId="5" borderId="0" xfId="0" applyFont="1" applyFill="1" applyBorder="1" applyAlignment="1">
      <alignment horizontal="left" vertical="center" wrapText="1"/>
    </xf>
    <xf numFmtId="0" fontId="5" fillId="5" borderId="60" xfId="0" applyFont="1" applyFill="1" applyBorder="1" applyAlignment="1">
      <alignment horizontal="center" vertical="center"/>
    </xf>
    <xf numFmtId="0" fontId="5" fillId="5" borderId="61" xfId="0" applyFont="1" applyFill="1" applyBorder="1" applyAlignment="1">
      <alignment horizontal="left" vertical="center" wrapText="1"/>
    </xf>
    <xf numFmtId="0" fontId="70" fillId="2" borderId="1" xfId="0" applyFont="1" applyFill="1" applyBorder="1" applyAlignment="1">
      <alignment vertical="top" wrapText="1"/>
    </xf>
    <xf numFmtId="0" fontId="71" fillId="2" borderId="6" xfId="0" applyFont="1" applyFill="1" applyBorder="1" applyAlignment="1">
      <alignment horizontal="center" vertical="top" wrapText="1"/>
    </xf>
    <xf numFmtId="0" fontId="71" fillId="2" borderId="2" xfId="0" applyFont="1" applyFill="1" applyBorder="1" applyAlignment="1">
      <alignment horizontal="left" vertical="top" wrapText="1"/>
    </xf>
    <xf numFmtId="0" fontId="71" fillId="2" borderId="7" xfId="0" applyFont="1" applyFill="1" applyBorder="1" applyAlignment="1">
      <alignment vertical="top" wrapText="1"/>
    </xf>
    <xf numFmtId="9" fontId="71" fillId="2" borderId="2" xfId="1" applyFont="1" applyFill="1" applyBorder="1" applyAlignment="1">
      <alignment vertical="top" wrapText="1"/>
    </xf>
    <xf numFmtId="0" fontId="70" fillId="6" borderId="1" xfId="0" applyFont="1" applyFill="1" applyBorder="1" applyAlignment="1">
      <alignment vertical="top" wrapText="1"/>
    </xf>
    <xf numFmtId="0" fontId="71" fillId="6" borderId="6" xfId="0" applyFont="1" applyFill="1" applyBorder="1" applyAlignment="1">
      <alignment horizontal="center" vertical="top" wrapText="1"/>
    </xf>
    <xf numFmtId="0" fontId="71" fillId="6" borderId="2" xfId="0" applyFont="1" applyFill="1" applyBorder="1" applyAlignment="1">
      <alignment horizontal="left" vertical="top" wrapText="1"/>
    </xf>
    <xf numFmtId="0" fontId="71" fillId="6" borderId="7" xfId="0" applyFont="1" applyFill="1" applyBorder="1" applyAlignment="1">
      <alignment vertical="top" wrapText="1"/>
    </xf>
    <xf numFmtId="9" fontId="71" fillId="6" borderId="2" xfId="1" applyFont="1" applyFill="1" applyBorder="1" applyAlignment="1">
      <alignment vertical="top" wrapText="1"/>
    </xf>
    <xf numFmtId="0" fontId="10" fillId="6" borderId="131" xfId="0" applyFont="1" applyFill="1" applyBorder="1" applyAlignment="1" applyProtection="1">
      <alignment horizontal="left" vertical="center" wrapText="1"/>
      <protection locked="0"/>
    </xf>
    <xf numFmtId="4" fontId="17" fillId="7" borderId="44" xfId="0" applyNumberFormat="1" applyFont="1" applyFill="1" applyBorder="1" applyAlignment="1">
      <alignment vertical="center" wrapText="1"/>
    </xf>
    <xf numFmtId="4" fontId="66" fillId="7" borderId="21" xfId="0" applyNumberFormat="1" applyFont="1" applyFill="1" applyBorder="1" applyAlignment="1">
      <alignment vertical="center" wrapText="1"/>
    </xf>
    <xf numFmtId="4" fontId="63" fillId="7" borderId="21" xfId="0" applyNumberFormat="1" applyFont="1" applyFill="1" applyBorder="1" applyAlignment="1">
      <alignment vertical="center" wrapText="1"/>
    </xf>
    <xf numFmtId="4" fontId="17" fillId="6" borderId="120" xfId="0" applyNumberFormat="1" applyFont="1" applyFill="1" applyBorder="1" applyAlignment="1">
      <alignment vertical="center" wrapText="1"/>
    </xf>
    <xf numFmtId="0" fontId="15" fillId="10" borderId="159" xfId="0" applyFont="1" applyFill="1" applyBorder="1" applyAlignment="1">
      <alignment horizontal="center" wrapText="1"/>
    </xf>
    <xf numFmtId="0" fontId="15" fillId="10" borderId="160" xfId="0" applyFont="1" applyFill="1" applyBorder="1" applyAlignment="1">
      <alignment horizontal="center" wrapText="1"/>
    </xf>
    <xf numFmtId="4" fontId="27" fillId="5" borderId="164" xfId="2" applyNumberFormat="1" applyFont="1" applyFill="1" applyBorder="1" applyAlignment="1">
      <alignment horizontal="right" vertical="center"/>
    </xf>
    <xf numFmtId="4" fontId="27" fillId="5" borderId="12" xfId="2" applyNumberFormat="1" applyFont="1" applyFill="1" applyBorder="1" applyAlignment="1">
      <alignment horizontal="right" vertical="center"/>
    </xf>
    <xf numFmtId="0" fontId="20" fillId="15" borderId="11" xfId="0" applyFont="1" applyFill="1" applyBorder="1" applyAlignment="1" applyProtection="1">
      <alignment horizontal="left" vertical="top" wrapText="1"/>
      <protection locked="0"/>
    </xf>
    <xf numFmtId="0" fontId="17" fillId="6" borderId="11" xfId="0" applyFont="1" applyFill="1" applyBorder="1" applyAlignment="1" applyProtection="1">
      <alignment horizontal="left" vertical="center" wrapText="1"/>
      <protection locked="0"/>
    </xf>
    <xf numFmtId="0" fontId="9" fillId="3" borderId="144" xfId="0" applyFont="1" applyFill="1" applyBorder="1" applyAlignment="1">
      <alignment horizontal="left" vertical="center" wrapText="1"/>
    </xf>
    <xf numFmtId="0" fontId="9" fillId="3" borderId="43" xfId="0" applyFont="1" applyFill="1" applyBorder="1" applyAlignment="1">
      <alignment horizontal="left" vertical="center" wrapText="1"/>
    </xf>
    <xf numFmtId="0" fontId="9" fillId="3" borderId="124" xfId="0" applyFont="1" applyFill="1" applyBorder="1" applyAlignment="1">
      <alignment horizontal="left" vertical="top" wrapText="1"/>
    </xf>
    <xf numFmtId="0" fontId="9" fillId="3" borderId="8" xfId="0" applyFont="1" applyFill="1" applyBorder="1" applyAlignment="1">
      <alignment horizontal="left" vertical="top" wrapText="1"/>
    </xf>
    <xf numFmtId="0" fontId="14" fillId="10" borderId="11" xfId="0" applyFont="1" applyFill="1" applyBorder="1" applyAlignment="1">
      <alignment horizontal="center"/>
    </xf>
    <xf numFmtId="0" fontId="23" fillId="10" borderId="11" xfId="0" applyFont="1" applyFill="1" applyBorder="1" applyAlignment="1">
      <alignment horizontal="left" vertical="center" wrapText="1"/>
    </xf>
    <xf numFmtId="0" fontId="12" fillId="16" borderId="149" xfId="0" applyFont="1" applyFill="1" applyBorder="1" applyAlignment="1">
      <alignment horizontal="center" wrapText="1"/>
    </xf>
    <xf numFmtId="0" fontId="13" fillId="16" borderId="149" xfId="0" applyFont="1" applyFill="1" applyBorder="1" applyAlignment="1">
      <alignment horizontal="center"/>
    </xf>
    <xf numFmtId="0" fontId="17" fillId="6" borderId="12" xfId="0" applyFont="1" applyFill="1" applyBorder="1" applyAlignment="1" applyProtection="1">
      <alignment horizontal="left" vertical="center" wrapText="1"/>
      <protection locked="0"/>
    </xf>
    <xf numFmtId="1" fontId="9" fillId="10" borderId="63" xfId="0" applyNumberFormat="1" applyFont="1" applyFill="1" applyBorder="1" applyAlignment="1">
      <alignment horizontal="center" vertical="center" wrapText="1"/>
    </xf>
    <xf numFmtId="1" fontId="9" fillId="10" borderId="93" xfId="0" applyNumberFormat="1" applyFont="1" applyFill="1" applyBorder="1" applyAlignment="1">
      <alignment horizontal="center" vertical="center" wrapText="1"/>
    </xf>
    <xf numFmtId="0" fontId="9" fillId="10" borderId="147" xfId="0" applyFont="1" applyFill="1" applyBorder="1" applyAlignment="1">
      <alignment horizontal="left" vertical="center" wrapText="1"/>
    </xf>
    <xf numFmtId="0" fontId="9" fillId="10" borderId="148" xfId="0" applyFont="1" applyFill="1" applyBorder="1" applyAlignment="1">
      <alignment horizontal="left" vertical="center" wrapText="1"/>
    </xf>
    <xf numFmtId="0" fontId="34" fillId="13" borderId="93" xfId="0" applyFont="1" applyFill="1" applyBorder="1" applyAlignment="1">
      <alignment horizontal="center" vertical="center" wrapText="1"/>
    </xf>
    <xf numFmtId="0" fontId="5" fillId="11" borderId="56" xfId="0" applyFont="1" applyFill="1" applyBorder="1" applyAlignment="1">
      <alignment horizontal="left" vertical="center" wrapText="1"/>
    </xf>
    <xf numFmtId="0" fontId="17" fillId="5" borderId="156"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7" fillId="10" borderId="62" xfId="0" applyFont="1" applyFill="1" applyBorder="1" applyAlignment="1">
      <alignment horizontal="center" vertical="center" wrapText="1"/>
    </xf>
    <xf numFmtId="0" fontId="7" fillId="10" borderId="63" xfId="0" applyFont="1" applyFill="1" applyBorder="1" applyAlignment="1">
      <alignment horizontal="center" vertical="center" wrapText="1"/>
    </xf>
    <xf numFmtId="0" fontId="34" fillId="10" borderId="63" xfId="0" applyFont="1" applyFill="1" applyBorder="1" applyAlignment="1">
      <alignment horizontal="center" vertical="center" wrapText="1"/>
    </xf>
    <xf numFmtId="0" fontId="34" fillId="10" borderId="93" xfId="0" applyFont="1" applyFill="1" applyBorder="1" applyAlignment="1">
      <alignment horizontal="center" vertical="center" wrapText="1"/>
    </xf>
    <xf numFmtId="0" fontId="5" fillId="10" borderId="63" xfId="0" applyFont="1" applyFill="1" applyBorder="1" applyAlignment="1">
      <alignment horizontal="center" vertical="center" wrapText="1"/>
    </xf>
    <xf numFmtId="0" fontId="5" fillId="10" borderId="93" xfId="0" applyFont="1" applyFill="1" applyBorder="1" applyAlignment="1">
      <alignment horizontal="center" vertical="center" wrapText="1"/>
    </xf>
    <xf numFmtId="0" fontId="5" fillId="5" borderId="85" xfId="0" applyFont="1" applyFill="1" applyBorder="1" applyAlignment="1">
      <alignment horizontal="center" vertical="center"/>
    </xf>
    <xf numFmtId="0" fontId="5" fillId="5" borderId="58" xfId="0" applyFont="1" applyFill="1" applyBorder="1" applyAlignment="1">
      <alignment horizontal="center" vertical="center"/>
    </xf>
    <xf numFmtId="0" fontId="5" fillId="5" borderId="101" xfId="0" applyFont="1" applyFill="1" applyBorder="1" applyAlignment="1">
      <alignment horizontal="center" vertical="center"/>
    </xf>
    <xf numFmtId="0" fontId="5" fillId="5" borderId="57" xfId="0" applyFont="1" applyFill="1" applyBorder="1" applyAlignment="1">
      <alignment horizontal="left" vertical="center" wrapText="1"/>
    </xf>
    <xf numFmtId="0" fontId="5" fillId="5" borderId="56" xfId="0" applyFont="1" applyFill="1" applyBorder="1" applyAlignment="1">
      <alignment horizontal="left" vertical="center" wrapText="1"/>
    </xf>
    <xf numFmtId="0" fontId="5" fillId="5" borderId="102" xfId="0" applyFont="1" applyFill="1" applyBorder="1" applyAlignment="1">
      <alignment horizontal="left" vertical="center" wrapText="1"/>
    </xf>
    <xf numFmtId="0" fontId="5" fillId="11" borderId="58" xfId="0" applyFont="1" applyFill="1" applyBorder="1" applyAlignment="1">
      <alignment horizontal="center" vertical="center"/>
    </xf>
    <xf numFmtId="0" fontId="12" fillId="16" borderId="171" xfId="0" applyFont="1" applyFill="1" applyBorder="1" applyAlignment="1">
      <alignment horizontal="center" wrapText="1"/>
    </xf>
    <xf numFmtId="0" fontId="12" fillId="16" borderId="172" xfId="0" applyFont="1" applyFill="1" applyBorder="1" applyAlignment="1">
      <alignment horizontal="center" wrapText="1"/>
    </xf>
    <xf numFmtId="0" fontId="5" fillId="11" borderId="85" xfId="0" applyFont="1" applyFill="1" applyBorder="1" applyAlignment="1">
      <alignment horizontal="center" vertical="center" wrapText="1"/>
    </xf>
    <xf numFmtId="0" fontId="5" fillId="11" borderId="58" xfId="0" applyFont="1" applyFill="1" applyBorder="1" applyAlignment="1">
      <alignment horizontal="center" vertical="center" wrapText="1"/>
    </xf>
    <xf numFmtId="0" fontId="5" fillId="11" borderId="57" xfId="0" applyFont="1" applyFill="1" applyBorder="1" applyAlignment="1">
      <alignment horizontal="left" vertical="center" wrapText="1"/>
    </xf>
    <xf numFmtId="1" fontId="9" fillId="10" borderId="175" xfId="0" applyNumberFormat="1" applyFont="1" applyFill="1" applyBorder="1" applyAlignment="1">
      <alignment horizontal="center" vertical="center" wrapText="1"/>
    </xf>
    <xf numFmtId="1" fontId="9" fillId="10" borderId="176" xfId="0" applyNumberFormat="1" applyFont="1" applyFill="1" applyBorder="1" applyAlignment="1">
      <alignment horizontal="center" vertical="center" wrapText="1"/>
    </xf>
    <xf numFmtId="0" fontId="9" fillId="10" borderId="191" xfId="0" applyFont="1" applyFill="1" applyBorder="1" applyAlignment="1">
      <alignment horizontal="left" vertical="center" wrapText="1"/>
    </xf>
    <xf numFmtId="0" fontId="9" fillId="10" borderId="192" xfId="0" applyFont="1" applyFill="1" applyBorder="1" applyAlignment="1">
      <alignment horizontal="left" vertical="center" wrapText="1"/>
    </xf>
    <xf numFmtId="0" fontId="9" fillId="13" borderId="17"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4" fillId="5" borderId="86" xfId="0" applyFont="1" applyFill="1" applyBorder="1" applyAlignment="1">
      <alignment horizontal="left" vertical="center" wrapText="1"/>
    </xf>
    <xf numFmtId="0" fontId="4" fillId="5" borderId="87" xfId="0" applyFont="1" applyFill="1" applyBorder="1" applyAlignment="1">
      <alignment horizontal="left" vertical="center" wrapText="1"/>
    </xf>
    <xf numFmtId="0" fontId="4" fillId="11" borderId="88" xfId="0" applyFont="1" applyFill="1" applyBorder="1" applyAlignment="1">
      <alignment horizontal="left" vertical="center" wrapText="1"/>
    </xf>
    <xf numFmtId="0" fontId="4" fillId="11" borderId="89" xfId="0" applyFont="1" applyFill="1" applyBorder="1" applyAlignment="1">
      <alignment horizontal="left" vertical="center" wrapText="1"/>
    </xf>
    <xf numFmtId="0" fontId="4" fillId="5" borderId="90" xfId="0" applyFont="1" applyFill="1" applyBorder="1" applyAlignment="1">
      <alignment horizontal="left" vertical="center" wrapText="1"/>
    </xf>
    <xf numFmtId="0" fontId="4" fillId="5" borderId="91" xfId="0" applyFont="1" applyFill="1" applyBorder="1" applyAlignment="1">
      <alignment horizontal="left" vertical="center" wrapText="1"/>
    </xf>
    <xf numFmtId="0" fontId="7" fillId="10" borderId="64" xfId="0" applyFont="1" applyFill="1" applyBorder="1" applyAlignment="1">
      <alignment horizontal="center" vertical="center" wrapText="1"/>
    </xf>
    <xf numFmtId="0" fontId="7" fillId="10" borderId="65" xfId="0" applyFont="1" applyFill="1" applyBorder="1" applyAlignment="1">
      <alignment horizontal="center" vertical="center" wrapText="1"/>
    </xf>
    <xf numFmtId="0" fontId="5" fillId="10" borderId="175" xfId="0" applyFont="1" applyFill="1" applyBorder="1" applyAlignment="1">
      <alignment horizontal="center" vertical="center" wrapText="1"/>
    </xf>
    <xf numFmtId="0" fontId="5" fillId="10" borderId="176" xfId="0" applyFont="1" applyFill="1" applyBorder="1" applyAlignment="1">
      <alignment horizontal="center" vertical="center" wrapText="1"/>
    </xf>
    <xf numFmtId="0" fontId="4" fillId="5" borderId="88" xfId="0" applyFont="1" applyFill="1" applyBorder="1" applyAlignment="1">
      <alignment horizontal="left" vertical="center" wrapText="1"/>
    </xf>
    <xf numFmtId="0" fontId="4" fillId="5" borderId="89" xfId="0" applyFont="1" applyFill="1" applyBorder="1" applyAlignment="1">
      <alignment horizontal="left" vertical="center" wrapText="1"/>
    </xf>
    <xf numFmtId="0" fontId="4" fillId="11" borderId="90" xfId="0" applyFont="1" applyFill="1" applyBorder="1" applyAlignment="1">
      <alignment horizontal="left" vertical="center" wrapText="1"/>
    </xf>
    <xf numFmtId="0" fontId="4" fillId="11" borderId="91" xfId="0" applyFont="1" applyFill="1" applyBorder="1" applyAlignment="1">
      <alignment horizontal="left" vertical="center" wrapText="1"/>
    </xf>
    <xf numFmtId="0" fontId="12" fillId="16" borderId="173" xfId="0" applyFont="1" applyFill="1" applyBorder="1" applyAlignment="1">
      <alignment horizontal="center" wrapText="1"/>
    </xf>
    <xf numFmtId="0" fontId="47" fillId="6" borderId="10" xfId="0" applyFont="1" applyFill="1" applyBorder="1" applyAlignment="1">
      <alignment horizontal="left" vertical="center" wrapText="1"/>
    </xf>
    <xf numFmtId="0" fontId="47" fillId="6" borderId="40" xfId="0" applyFont="1" applyFill="1" applyBorder="1" applyAlignment="1">
      <alignment horizontal="left" vertical="center" wrapText="1"/>
    </xf>
    <xf numFmtId="0" fontId="0" fillId="7" borderId="10" xfId="0" applyFont="1" applyFill="1" applyBorder="1" applyAlignment="1">
      <alignment horizontal="left" vertical="center" wrapText="1"/>
    </xf>
    <xf numFmtId="0" fontId="0" fillId="7" borderId="40" xfId="0" applyFont="1" applyFill="1" applyBorder="1" applyAlignment="1">
      <alignment horizontal="left" vertical="center" wrapText="1"/>
    </xf>
    <xf numFmtId="1" fontId="31" fillId="9" borderId="42" xfId="0" applyNumberFormat="1" applyFont="1" applyFill="1" applyBorder="1" applyAlignment="1" applyProtection="1">
      <alignment horizontal="center"/>
      <protection locked="0"/>
    </xf>
    <xf numFmtId="1" fontId="31" fillId="9" borderId="138" xfId="0" applyNumberFormat="1" applyFont="1" applyFill="1" applyBorder="1" applyAlignment="1" applyProtection="1">
      <alignment horizontal="center"/>
      <protection locked="0"/>
    </xf>
    <xf numFmtId="4" fontId="7" fillId="9" borderId="27" xfId="0" applyNumberFormat="1" applyFont="1" applyFill="1" applyBorder="1" applyAlignment="1">
      <alignment horizontal="center"/>
    </xf>
    <xf numFmtId="4" fontId="7" fillId="4" borderId="27" xfId="0" applyNumberFormat="1" applyFont="1" applyFill="1" applyBorder="1" applyAlignment="1">
      <alignment horizontal="center"/>
    </xf>
    <xf numFmtId="4" fontId="7" fillId="4" borderId="28" xfId="0" applyNumberFormat="1" applyFont="1" applyFill="1" applyBorder="1" applyAlignment="1">
      <alignment horizontal="center"/>
    </xf>
    <xf numFmtId="1" fontId="31" fillId="4" borderId="41" xfId="0" applyNumberFormat="1" applyFont="1" applyFill="1" applyBorder="1" applyAlignment="1" applyProtection="1">
      <alignment horizontal="center"/>
      <protection locked="0"/>
    </xf>
    <xf numFmtId="0" fontId="9" fillId="4" borderId="124" xfId="0" applyFont="1" applyFill="1" applyBorder="1" applyAlignment="1">
      <alignment horizontal="left" vertical="center" wrapText="1"/>
    </xf>
    <xf numFmtId="0" fontId="9" fillId="4" borderId="8"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7" borderId="8" xfId="0" applyFont="1" applyFill="1" applyBorder="1" applyAlignment="1">
      <alignment horizontal="left" vertical="center" wrapText="1"/>
    </xf>
    <xf numFmtId="0" fontId="0" fillId="7" borderId="129" xfId="0" applyFont="1" applyFill="1" applyBorder="1" applyAlignment="1">
      <alignment horizontal="left" vertical="center" wrapText="1"/>
    </xf>
    <xf numFmtId="0" fontId="0" fillId="7" borderId="130" xfId="0" applyFont="1" applyFill="1" applyBorder="1" applyAlignment="1">
      <alignment horizontal="left" vertical="center" wrapText="1"/>
    </xf>
    <xf numFmtId="0" fontId="7" fillId="9" borderId="124" xfId="0" applyFont="1" applyFill="1" applyBorder="1" applyAlignment="1">
      <alignment horizontal="left" vertical="center" wrapText="1"/>
    </xf>
    <xf numFmtId="0" fontId="7" fillId="9" borderId="8" xfId="0" applyFont="1" applyFill="1" applyBorder="1" applyAlignment="1">
      <alignment horizontal="left" vertical="center" wrapText="1"/>
    </xf>
    <xf numFmtId="0" fontId="31" fillId="16" borderId="171" xfId="0" applyFont="1" applyFill="1" applyBorder="1" applyAlignment="1">
      <alignment horizontal="right" vertical="center" wrapText="1"/>
    </xf>
    <xf numFmtId="0" fontId="31" fillId="16" borderId="172" xfId="0" applyFont="1" applyFill="1" applyBorder="1" applyAlignment="1">
      <alignment horizontal="right" vertical="center" wrapText="1"/>
    </xf>
    <xf numFmtId="0" fontId="31" fillId="16" borderId="173" xfId="0" applyFont="1" applyFill="1" applyBorder="1" applyAlignment="1">
      <alignment horizontal="right" vertical="center" wrapText="1"/>
    </xf>
    <xf numFmtId="0" fontId="0" fillId="2" borderId="8" xfId="0" applyFont="1" applyFill="1" applyBorder="1" applyAlignment="1">
      <alignment horizontal="left" vertical="center" wrapText="1"/>
    </xf>
    <xf numFmtId="1" fontId="31" fillId="9" borderId="41" xfId="0" applyNumberFormat="1" applyFont="1" applyFill="1" applyBorder="1" applyAlignment="1" applyProtection="1">
      <alignment horizontal="center"/>
      <protection locked="0"/>
    </xf>
    <xf numFmtId="0" fontId="31" fillId="16" borderId="172" xfId="0" applyFont="1" applyFill="1" applyBorder="1" applyAlignment="1">
      <alignment horizontal="right" vertical="center"/>
    </xf>
    <xf numFmtId="0" fontId="31" fillId="16" borderId="173" xfId="0" applyFont="1" applyFill="1" applyBorder="1" applyAlignment="1">
      <alignment horizontal="right" vertical="center"/>
    </xf>
    <xf numFmtId="0" fontId="17" fillId="5" borderId="12" xfId="0" applyFont="1" applyFill="1" applyBorder="1" applyAlignment="1">
      <alignment horizontal="left" vertical="center" wrapText="1"/>
    </xf>
    <xf numFmtId="1" fontId="31" fillId="9" borderId="122" xfId="0" applyNumberFormat="1" applyFont="1" applyFill="1" applyBorder="1" applyAlignment="1" applyProtection="1">
      <alignment horizontal="center"/>
      <protection locked="0"/>
    </xf>
    <xf numFmtId="0" fontId="7" fillId="4" borderId="124" xfId="0" applyFont="1" applyFill="1" applyBorder="1" applyAlignment="1">
      <alignment horizontal="left" vertical="center" wrapText="1"/>
    </xf>
    <xf numFmtId="0" fontId="7" fillId="4" borderId="8" xfId="0" applyFont="1" applyFill="1" applyBorder="1" applyAlignment="1">
      <alignment horizontal="left" vertical="center" wrapText="1"/>
    </xf>
    <xf numFmtId="0" fontId="17" fillId="5" borderId="38"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13" xfId="0" applyFont="1" applyFill="1" applyBorder="1" applyAlignment="1">
      <alignment horizontal="left" vertical="center" wrapText="1"/>
    </xf>
    <xf numFmtId="0" fontId="17" fillId="5" borderId="14" xfId="0" applyFont="1" applyFill="1" applyBorder="1" applyAlignment="1">
      <alignment horizontal="left" vertical="center" wrapText="1"/>
    </xf>
    <xf numFmtId="0" fontId="17" fillId="5" borderId="15" xfId="0" applyFont="1" applyFill="1" applyBorder="1" applyAlignment="1">
      <alignment horizontal="left" vertical="center" wrapText="1"/>
    </xf>
    <xf numFmtId="0" fontId="31" fillId="16" borderId="171" xfId="0" applyFont="1" applyFill="1" applyBorder="1" applyAlignment="1">
      <alignment horizontal="right" vertical="center"/>
    </xf>
    <xf numFmtId="0" fontId="0" fillId="6" borderId="10" xfId="0" applyFont="1" applyFill="1" applyBorder="1" applyAlignment="1" applyProtection="1">
      <alignment horizontal="left" vertical="center" wrapText="1"/>
      <protection locked="0"/>
    </xf>
    <xf numFmtId="0" fontId="0" fillId="6" borderId="40" xfId="0" applyFont="1" applyFill="1" applyBorder="1" applyAlignment="1" applyProtection="1">
      <alignment horizontal="left" vertical="center" wrapText="1"/>
      <protection locked="0"/>
    </xf>
    <xf numFmtId="0" fontId="0" fillId="6" borderId="129" xfId="0" applyFont="1" applyFill="1" applyBorder="1" applyAlignment="1" applyProtection="1">
      <alignment horizontal="left" vertical="center" wrapText="1"/>
      <protection locked="0"/>
    </xf>
    <xf numFmtId="0" fontId="0" fillId="6" borderId="130" xfId="0" applyFont="1" applyFill="1" applyBorder="1" applyAlignment="1" applyProtection="1">
      <alignment horizontal="left" vertical="center" wrapText="1"/>
      <protection locked="0"/>
    </xf>
    <xf numFmtId="49" fontId="4" fillId="6" borderId="104" xfId="0" applyNumberFormat="1" applyFont="1" applyFill="1" applyBorder="1" applyAlignment="1" applyProtection="1">
      <alignment horizontal="left" vertical="center" wrapText="1"/>
      <protection locked="0"/>
    </xf>
    <xf numFmtId="49" fontId="4" fillId="6" borderId="107" xfId="0" applyNumberFormat="1" applyFont="1" applyFill="1" applyBorder="1" applyAlignment="1" applyProtection="1">
      <alignment horizontal="left" vertical="center" wrapText="1"/>
      <protection locked="0"/>
    </xf>
    <xf numFmtId="49" fontId="4" fillId="6" borderId="105" xfId="0" applyNumberFormat="1" applyFont="1" applyFill="1" applyBorder="1" applyAlignment="1" applyProtection="1">
      <alignment horizontal="left" vertical="center" wrapText="1"/>
      <protection locked="0"/>
    </xf>
    <xf numFmtId="49" fontId="5" fillId="5" borderId="117" xfId="0" applyNumberFormat="1" applyFont="1" applyFill="1" applyBorder="1" applyAlignment="1">
      <alignment horizontal="left" vertical="center" wrapText="1"/>
    </xf>
    <xf numFmtId="49" fontId="5" fillId="5" borderId="118" xfId="0" applyNumberFormat="1" applyFont="1" applyFill="1" applyBorder="1" applyAlignment="1">
      <alignment horizontal="left" vertical="center" wrapText="1"/>
    </xf>
    <xf numFmtId="49" fontId="5" fillId="5" borderId="119" xfId="0" applyNumberFormat="1" applyFont="1" applyFill="1" applyBorder="1" applyAlignment="1">
      <alignment horizontal="left" vertical="center" wrapText="1"/>
    </xf>
    <xf numFmtId="10" fontId="26" fillId="6" borderId="104" xfId="0" applyNumberFormat="1" applyFont="1" applyFill="1" applyBorder="1" applyAlignment="1">
      <alignment horizontal="left" vertical="center" wrapText="1"/>
    </xf>
    <xf numFmtId="10" fontId="26" fillId="6" borderId="107" xfId="0" applyNumberFormat="1" applyFont="1" applyFill="1" applyBorder="1" applyAlignment="1">
      <alignment horizontal="left" vertical="center" wrapText="1"/>
    </xf>
    <xf numFmtId="10" fontId="26" fillId="6" borderId="127" xfId="0" applyNumberFormat="1" applyFont="1" applyFill="1" applyBorder="1" applyAlignment="1">
      <alignment horizontal="left" vertical="center" wrapText="1"/>
    </xf>
    <xf numFmtId="4" fontId="31" fillId="9" borderId="26" xfId="0" applyNumberFormat="1" applyFont="1" applyFill="1" applyBorder="1" applyAlignment="1">
      <alignment horizontal="center" vertical="center"/>
    </xf>
    <xf numFmtId="4" fontId="31" fillId="9" borderId="27" xfId="0" applyNumberFormat="1" applyFont="1" applyFill="1" applyBorder="1" applyAlignment="1">
      <alignment horizontal="center" vertical="center"/>
    </xf>
    <xf numFmtId="0" fontId="30" fillId="4" borderId="29" xfId="0" applyFont="1" applyFill="1" applyBorder="1" applyAlignment="1">
      <alignment horizontal="left" vertical="center" wrapText="1"/>
    </xf>
    <xf numFmtId="0" fontId="30" fillId="4" borderId="0" xfId="0" applyFont="1" applyFill="1" applyAlignment="1">
      <alignment horizontal="left" vertical="center" wrapText="1"/>
    </xf>
    <xf numFmtId="0" fontId="9" fillId="4" borderId="29"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6" xfId="0" applyFont="1" applyFill="1" applyBorder="1" applyAlignment="1">
      <alignment horizontal="left" vertical="center" wrapText="1"/>
    </xf>
    <xf numFmtId="49" fontId="4" fillId="6" borderId="117" xfId="0" applyNumberFormat="1" applyFont="1" applyFill="1" applyBorder="1" applyAlignment="1" applyProtection="1">
      <alignment horizontal="left" vertical="center" wrapText="1"/>
      <protection locked="0"/>
    </xf>
    <xf numFmtId="49" fontId="4" fillId="6" borderId="118" xfId="0" applyNumberFormat="1" applyFont="1" applyFill="1" applyBorder="1" applyAlignment="1" applyProtection="1">
      <alignment horizontal="left" vertical="center" wrapText="1"/>
      <protection locked="0"/>
    </xf>
    <xf numFmtId="49" fontId="4" fillId="6" borderId="119" xfId="0" applyNumberFormat="1" applyFont="1" applyFill="1" applyBorder="1" applyAlignment="1" applyProtection="1">
      <alignment horizontal="left" vertical="center" wrapText="1"/>
      <protection locked="0"/>
    </xf>
    <xf numFmtId="0" fontId="31" fillId="16" borderId="149" xfId="0" applyFont="1" applyFill="1" applyBorder="1" applyAlignment="1">
      <alignment horizontal="center" vertical="center"/>
    </xf>
    <xf numFmtId="0" fontId="17" fillId="5" borderId="25"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24" xfId="0" applyFont="1" applyFill="1" applyBorder="1" applyAlignment="1">
      <alignment horizontal="left" vertical="center" wrapText="1"/>
    </xf>
    <xf numFmtId="1" fontId="31" fillId="9" borderId="122" xfId="0" applyNumberFormat="1" applyFont="1" applyFill="1" applyBorder="1" applyAlignment="1">
      <alignment horizontal="center"/>
    </xf>
    <xf numFmtId="1" fontId="31" fillId="9" borderId="123" xfId="0" applyNumberFormat="1" applyFont="1" applyFill="1" applyBorder="1" applyAlignment="1">
      <alignment horizontal="center"/>
    </xf>
    <xf numFmtId="0" fontId="30" fillId="4" borderId="124" xfId="0" applyFont="1" applyFill="1" applyBorder="1" applyAlignment="1">
      <alignment horizontal="left" vertical="center" wrapText="1"/>
    </xf>
    <xf numFmtId="0" fontId="30" fillId="4" borderId="8" xfId="0" applyFont="1" applyFill="1" applyBorder="1" applyAlignment="1">
      <alignment horizontal="left" vertical="center" wrapText="1"/>
    </xf>
    <xf numFmtId="0" fontId="0" fillId="6" borderId="10" xfId="0" applyFont="1" applyFill="1" applyBorder="1" applyAlignment="1">
      <alignment horizontal="left" vertical="center" wrapText="1"/>
    </xf>
    <xf numFmtId="0" fontId="0" fillId="6" borderId="40" xfId="0" applyFont="1" applyFill="1" applyBorder="1" applyAlignment="1">
      <alignment horizontal="left" vertical="center" wrapText="1"/>
    </xf>
    <xf numFmtId="4" fontId="5" fillId="20" borderId="112" xfId="0" applyNumberFormat="1" applyFont="1" applyFill="1" applyBorder="1" applyAlignment="1">
      <alignment horizontal="center" vertical="center" wrapText="1"/>
    </xf>
    <xf numFmtId="4" fontId="5" fillId="20" borderId="113" xfId="0" applyNumberFormat="1" applyFont="1" applyFill="1" applyBorder="1" applyAlignment="1">
      <alignment horizontal="center" vertical="center" wrapText="1"/>
    </xf>
    <xf numFmtId="4" fontId="5" fillId="20" borderId="126" xfId="0" applyNumberFormat="1" applyFont="1" applyFill="1" applyBorder="1" applyAlignment="1">
      <alignment horizontal="center" vertical="center" wrapText="1"/>
    </xf>
    <xf numFmtId="4" fontId="5" fillId="20" borderId="109" xfId="0" applyNumberFormat="1" applyFont="1" applyFill="1" applyBorder="1" applyAlignment="1">
      <alignment horizontal="center" vertical="center" wrapText="1"/>
    </xf>
    <xf numFmtId="4" fontId="5" fillId="20" borderId="110" xfId="0" applyNumberFormat="1" applyFont="1" applyFill="1" applyBorder="1" applyAlignment="1">
      <alignment horizontal="center" vertical="center" wrapText="1"/>
    </xf>
    <xf numFmtId="4" fontId="5" fillId="20" borderId="125" xfId="0" applyNumberFormat="1" applyFont="1" applyFill="1" applyBorder="1" applyAlignment="1">
      <alignment horizontal="center" vertical="center" wrapText="1"/>
    </xf>
    <xf numFmtId="4" fontId="5" fillId="20" borderId="108" xfId="0" applyNumberFormat="1" applyFont="1" applyFill="1" applyBorder="1" applyAlignment="1">
      <alignment horizontal="center" vertical="center" wrapText="1"/>
    </xf>
    <xf numFmtId="4" fontId="5" fillId="20" borderId="111" xfId="0" applyNumberFormat="1" applyFont="1" applyFill="1" applyBorder="1" applyAlignment="1">
      <alignment horizontal="center" vertical="center" wrapText="1"/>
    </xf>
    <xf numFmtId="4" fontId="5" fillId="20" borderId="128" xfId="0" applyNumberFormat="1" applyFont="1" applyFill="1" applyBorder="1" applyAlignment="1">
      <alignment horizontal="center" vertical="center" wrapText="1"/>
    </xf>
    <xf numFmtId="0" fontId="31" fillId="16" borderId="149" xfId="0" applyFont="1" applyFill="1" applyBorder="1" applyAlignment="1">
      <alignment horizontal="right" vertical="center"/>
    </xf>
    <xf numFmtId="0" fontId="4" fillId="6" borderId="10" xfId="0" applyFont="1" applyFill="1" applyBorder="1" applyAlignment="1">
      <alignment horizontal="left" vertical="center" wrapText="1"/>
    </xf>
    <xf numFmtId="0" fontId="4" fillId="6" borderId="40" xfId="0" applyFont="1" applyFill="1" applyBorder="1" applyAlignment="1">
      <alignment horizontal="left" vertical="center" wrapText="1"/>
    </xf>
    <xf numFmtId="4" fontId="31" fillId="9" borderId="144" xfId="0" applyNumberFormat="1" applyFont="1" applyFill="1" applyBorder="1" applyAlignment="1">
      <alignment horizontal="center" vertical="center"/>
    </xf>
    <xf numFmtId="4" fontId="31" fillId="9" borderId="43" xfId="0" applyNumberFormat="1" applyFont="1" applyFill="1" applyBorder="1" applyAlignment="1">
      <alignment horizontal="center" vertical="center"/>
    </xf>
    <xf numFmtId="1" fontId="29" fillId="19" borderId="39" xfId="0" applyNumberFormat="1" applyFont="1" applyFill="1" applyBorder="1" applyAlignment="1">
      <alignment horizontal="center" vertical="center" wrapText="1"/>
    </xf>
    <xf numFmtId="1" fontId="29" fillId="19" borderId="4" xfId="0" applyNumberFormat="1" applyFont="1" applyFill="1" applyBorder="1" applyAlignment="1">
      <alignment horizontal="center" vertical="center" wrapText="1"/>
    </xf>
    <xf numFmtId="1" fontId="29" fillId="3" borderId="131" xfId="0" applyNumberFormat="1" applyFont="1" applyFill="1" applyBorder="1" applyAlignment="1">
      <alignment horizontal="center" vertical="center" wrapText="1"/>
    </xf>
    <xf numFmtId="1" fontId="29" fillId="17" borderId="39" xfId="0" applyNumberFormat="1" applyFont="1" applyFill="1" applyBorder="1" applyAlignment="1">
      <alignment horizontal="center" vertical="center" wrapText="1"/>
    </xf>
    <xf numFmtId="1" fontId="29" fillId="17" borderId="4" xfId="0" applyNumberFormat="1" applyFont="1" applyFill="1" applyBorder="1" applyAlignment="1">
      <alignment horizontal="center" vertical="center" wrapText="1"/>
    </xf>
    <xf numFmtId="0" fontId="4" fillId="7" borderId="29"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45" xfId="0" applyFont="1" applyFill="1" applyBorder="1" applyAlignment="1">
      <alignment horizontal="left" vertical="center" wrapText="1"/>
    </xf>
    <xf numFmtId="1" fontId="29" fillId="16" borderId="39" xfId="0" applyNumberFormat="1" applyFont="1" applyFill="1" applyBorder="1" applyAlignment="1">
      <alignment horizontal="center" vertical="center"/>
    </xf>
    <xf numFmtId="1" fontId="29" fillId="16" borderId="4" xfId="0" applyNumberFormat="1" applyFont="1" applyFill="1" applyBorder="1" applyAlignment="1">
      <alignment horizontal="center" vertical="center"/>
    </xf>
    <xf numFmtId="0" fontId="4" fillId="2" borderId="146"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7" borderId="129" xfId="0" applyFont="1" applyFill="1" applyBorder="1" applyAlignment="1">
      <alignment horizontal="left" vertical="center" wrapText="1"/>
    </xf>
    <xf numFmtId="0" fontId="4" fillId="7" borderId="130" xfId="0" applyFont="1" applyFill="1" applyBorder="1" applyAlignment="1">
      <alignment horizontal="left" vertical="center" wrapText="1"/>
    </xf>
    <xf numFmtId="0" fontId="61" fillId="5" borderId="46" xfId="0" applyFont="1" applyFill="1" applyBorder="1" applyAlignment="1">
      <alignment horizontal="left" vertical="top" wrapText="1"/>
    </xf>
    <xf numFmtId="0" fontId="61" fillId="5" borderId="0" xfId="0" applyFont="1" applyFill="1" applyAlignment="1">
      <alignment horizontal="left" vertical="top" wrapText="1"/>
    </xf>
    <xf numFmtId="1" fontId="29" fillId="4" borderId="10" xfId="0" applyNumberFormat="1" applyFont="1" applyFill="1" applyBorder="1" applyAlignment="1">
      <alignment horizontal="center" vertical="center"/>
    </xf>
    <xf numFmtId="1" fontId="29" fillId="4" borderId="5" xfId="0" applyNumberFormat="1" applyFont="1" applyFill="1" applyBorder="1" applyAlignment="1">
      <alignment horizontal="center" vertical="center"/>
    </xf>
    <xf numFmtId="1" fontId="29" fillId="18" borderId="10" xfId="0" applyNumberFormat="1" applyFont="1" applyFill="1" applyBorder="1" applyAlignment="1">
      <alignment horizontal="center" vertical="center"/>
    </xf>
    <xf numFmtId="1" fontId="29" fillId="18" borderId="5" xfId="0" applyNumberFormat="1" applyFont="1" applyFill="1" applyBorder="1" applyAlignment="1">
      <alignment horizontal="center" vertical="center"/>
    </xf>
    <xf numFmtId="0" fontId="4" fillId="11" borderId="29" xfId="0" applyFont="1" applyFill="1" applyBorder="1" applyAlignment="1">
      <alignment horizontal="left" vertical="center" wrapText="1" indent="2"/>
    </xf>
    <xf numFmtId="0" fontId="4" fillId="11" borderId="0" xfId="0" applyFont="1" applyFill="1" applyAlignment="1">
      <alignment horizontal="left" vertical="center" wrapText="1" indent="2"/>
    </xf>
    <xf numFmtId="0" fontId="4" fillId="11" borderId="45" xfId="0" applyFont="1" applyFill="1" applyBorder="1" applyAlignment="1">
      <alignment horizontal="left" vertical="center" wrapText="1" indent="2"/>
    </xf>
  </cellXfs>
  <cellStyles count="5">
    <cellStyle name="Millares" xfId="2" builtinId="3"/>
    <cellStyle name="Normal" xfId="0" builtinId="0"/>
    <cellStyle name="Normal 2" xfId="3" xr:uid="{00000000-0005-0000-0000-000002000000}"/>
    <cellStyle name="Normal 3" xfId="4" xr:uid="{00000000-0005-0000-0000-000003000000}"/>
    <cellStyle name="Porcentaje" xfId="1" builtinId="5"/>
  </cellStyles>
  <dxfs count="0"/>
  <tableStyles count="0" defaultTableStyle="TableStyleMedium9" defaultPivotStyle="PivotStyleLight16"/>
  <colors>
    <mruColors>
      <color rgb="FF0000FF"/>
      <color rgb="FFF4FECE"/>
      <color rgb="FFFFCC00"/>
      <color rgb="FFEBF9A7"/>
      <color rgb="FFF79F57"/>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-3513</xdr:colOff>
          <xdr:row>10</xdr:row>
          <xdr:rowOff>0</xdr:rowOff>
        </xdr:from>
        <xdr:to>
          <xdr:col>1</xdr:col>
          <xdr:colOff>-3513</xdr:colOff>
          <xdr:row>10</xdr:row>
          <xdr:rowOff>0</xdr:rowOff>
        </xdr:to>
        <xdr:grpSp>
          <xdr:nvGrpSpPr>
            <xdr:cNvPr id="15" name="14 Grupo">
              <a:extLst>
                <a:ext uri="{FF2B5EF4-FFF2-40B4-BE49-F238E27FC236}">
                  <a16:creationId xmlns:a16="http://schemas.microsoft.com/office/drawing/2014/main" id="{00000000-0008-0000-0000-00000F000000}"/>
                </a:ext>
              </a:extLst>
            </xdr:cNvPr>
            <xdr:cNvGrpSpPr/>
          </xdr:nvGrpSpPr>
          <xdr:grpSpPr>
            <a:xfrm>
              <a:off x="-3513" y="2286000"/>
              <a:ext cx="0" cy="0"/>
              <a:chOff x="-3513" y="2286000"/>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1439" name="Group 415">
              <a:extLst>
                <a:ext uri="{FF2B5EF4-FFF2-40B4-BE49-F238E27FC236}">
                  <a16:creationId xmlns:a16="http://schemas.microsoft.com/office/drawing/2014/main" id="{00000000-0008-0000-0000-00009F050000}"/>
                </a:ext>
              </a:extLst>
            </xdr:cNvPr>
            <xdr:cNvGrpSpPr>
              <a:grpSpLocks/>
            </xdr:cNvGrpSpPr>
          </xdr:nvGrpSpPr>
          <xdr:grpSpPr bwMode="auto">
            <a:xfrm>
              <a:off x="4234" y="-18930274"/>
              <a:ext cx="0" cy="0"/>
              <a:chOff x="42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1435" name="Group 411">
              <a:extLst>
                <a:ext uri="{FF2B5EF4-FFF2-40B4-BE49-F238E27FC236}">
                  <a16:creationId xmlns:a16="http://schemas.microsoft.com/office/drawing/2014/main" id="{00000000-0008-0000-0000-00009B050000}"/>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427" name="Group 403">
              <a:extLst>
                <a:ext uri="{FF2B5EF4-FFF2-40B4-BE49-F238E27FC236}">
                  <a16:creationId xmlns:a16="http://schemas.microsoft.com/office/drawing/2014/main" id="{00000000-0008-0000-0000-00009305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438" name="Group 414">
              <a:extLst>
                <a:ext uri="{FF2B5EF4-FFF2-40B4-BE49-F238E27FC236}">
                  <a16:creationId xmlns:a16="http://schemas.microsoft.com/office/drawing/2014/main" id="{00000000-0008-0000-0000-00009E050000}"/>
                </a:ext>
              </a:extLst>
            </xdr:cNvPr>
            <xdr:cNvGrpSpPr>
              <a:grpSpLocks/>
            </xdr:cNvGrpSpPr>
          </xdr:nvGrpSpPr>
          <xdr:grpSpPr bwMode="auto">
            <a:xfrm>
              <a:off x="4234" y="392990"/>
              <a:ext cx="0" cy="0"/>
              <a:chOff x="4234" y="392990"/>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-18930274</xdr:rowOff>
        </xdr:from>
        <xdr:to>
          <xdr:col>0</xdr:col>
          <xdr:colOff>0</xdr:colOff>
          <xdr:row>0</xdr:row>
          <xdr:rowOff>-18930274</xdr:rowOff>
        </xdr:to>
        <xdr:grpSp>
          <xdr:nvGrpSpPr>
            <xdr:cNvPr id="2" name="Group 415">
              <a:extLst>
                <a:ext uri="{FF2B5EF4-FFF2-40B4-BE49-F238E27FC236}">
                  <a16:creationId xmlns:a16="http://schemas.microsoft.com/office/drawing/2014/main" id="{A25D0E61-8371-4F5D-A8BF-5C05CEF01E2B}"/>
                </a:ext>
              </a:extLst>
            </xdr:cNvPr>
            <xdr:cNvGrpSpPr>
              <a:grpSpLocks/>
            </xdr:cNvGrpSpPr>
          </xdr:nvGrpSpPr>
          <xdr:grpSpPr bwMode="auto">
            <a:xfrm>
              <a:off x="0" y="-18930274"/>
              <a:ext cx="0" cy="0"/>
              <a:chOff x="0"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a:extLst>
                <a:ext uri="{FF2B5EF4-FFF2-40B4-BE49-F238E27FC236}">
                  <a16:creationId xmlns:a16="http://schemas.microsoft.com/office/drawing/2014/main" id="{62B2C480-92D7-4DB5-A372-A1720F02C282}"/>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85439</xdr:rowOff>
        </xdr:from>
        <xdr:to>
          <xdr:col>0</xdr:col>
          <xdr:colOff>0</xdr:colOff>
          <xdr:row>2</xdr:row>
          <xdr:rowOff>85439</xdr:rowOff>
        </xdr:to>
        <xdr:grpSp>
          <xdr:nvGrpSpPr>
            <xdr:cNvPr id="4" name="Group 403">
              <a:extLst>
                <a:ext uri="{FF2B5EF4-FFF2-40B4-BE49-F238E27FC236}">
                  <a16:creationId xmlns:a16="http://schemas.microsoft.com/office/drawing/2014/main" id="{D283CD26-DBAA-4126-A200-2E1572F58553}"/>
                </a:ext>
              </a:extLst>
            </xdr:cNvPr>
            <xdr:cNvGrpSpPr>
              <a:grpSpLocks/>
            </xdr:cNvGrpSpPr>
          </xdr:nvGrpSpPr>
          <xdr:grpSpPr bwMode="auto">
            <a:xfrm>
              <a:off x="0" y="609314"/>
              <a:ext cx="0" cy="0"/>
              <a:chOff x="0"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85439</xdr:rowOff>
        </xdr:from>
        <xdr:to>
          <xdr:col>0</xdr:col>
          <xdr:colOff>0</xdr:colOff>
          <xdr:row>3</xdr:row>
          <xdr:rowOff>85439</xdr:rowOff>
        </xdr:to>
        <xdr:grpSp>
          <xdr:nvGrpSpPr>
            <xdr:cNvPr id="5" name="Group 403">
              <a:extLst>
                <a:ext uri="{FF2B5EF4-FFF2-40B4-BE49-F238E27FC236}">
                  <a16:creationId xmlns:a16="http://schemas.microsoft.com/office/drawing/2014/main" id="{11C94FB6-74A9-4359-A027-68C41229250B}"/>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88190</xdr:rowOff>
        </xdr:from>
        <xdr:to>
          <xdr:col>0</xdr:col>
          <xdr:colOff>0</xdr:colOff>
          <xdr:row>1</xdr:row>
          <xdr:rowOff>88190</xdr:rowOff>
        </xdr:to>
        <xdr:grpSp>
          <xdr:nvGrpSpPr>
            <xdr:cNvPr id="6" name="Group 414">
              <a:extLst>
                <a:ext uri="{FF2B5EF4-FFF2-40B4-BE49-F238E27FC236}">
                  <a16:creationId xmlns:a16="http://schemas.microsoft.com/office/drawing/2014/main" id="{D006C5E9-8B88-4F60-804C-6464DCDF4E5A}"/>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85439</xdr:rowOff>
        </xdr:from>
        <xdr:to>
          <xdr:col>0</xdr:col>
          <xdr:colOff>0</xdr:colOff>
          <xdr:row>5</xdr:row>
          <xdr:rowOff>85439</xdr:rowOff>
        </xdr:to>
        <xdr:grpSp>
          <xdr:nvGrpSpPr>
            <xdr:cNvPr id="7" name="Group 403">
              <a:extLst>
                <a:ext uri="{FF2B5EF4-FFF2-40B4-BE49-F238E27FC236}">
                  <a16:creationId xmlns:a16="http://schemas.microsoft.com/office/drawing/2014/main" id="{1B736A66-6070-4E06-9B92-5543C699758F}"/>
                </a:ext>
              </a:extLst>
            </xdr:cNvPr>
            <xdr:cNvGrpSpPr>
              <a:grpSpLocks/>
            </xdr:cNvGrpSpPr>
          </xdr:nvGrpSpPr>
          <xdr:grpSpPr bwMode="auto">
            <a:xfrm>
              <a:off x="0" y="1237964"/>
              <a:ext cx="0" cy="0"/>
              <a:chOff x="0"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85439</xdr:rowOff>
        </xdr:from>
        <xdr:to>
          <xdr:col>0</xdr:col>
          <xdr:colOff>0</xdr:colOff>
          <xdr:row>3</xdr:row>
          <xdr:rowOff>85439</xdr:rowOff>
        </xdr:to>
        <xdr:grpSp>
          <xdr:nvGrpSpPr>
            <xdr:cNvPr id="8" name="Group 403">
              <a:extLst>
                <a:ext uri="{FF2B5EF4-FFF2-40B4-BE49-F238E27FC236}">
                  <a16:creationId xmlns:a16="http://schemas.microsoft.com/office/drawing/2014/main" id="{21FD712A-9CFA-4EEB-965C-00AD6B698E92}"/>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88190</xdr:rowOff>
        </xdr:from>
        <xdr:to>
          <xdr:col>0</xdr:col>
          <xdr:colOff>0</xdr:colOff>
          <xdr:row>1</xdr:row>
          <xdr:rowOff>88190</xdr:rowOff>
        </xdr:to>
        <xdr:grpSp>
          <xdr:nvGrpSpPr>
            <xdr:cNvPr id="9" name="Group 414">
              <a:extLst>
                <a:ext uri="{FF2B5EF4-FFF2-40B4-BE49-F238E27FC236}">
                  <a16:creationId xmlns:a16="http://schemas.microsoft.com/office/drawing/2014/main" id="{D53FE358-F182-486C-8EFE-A6D027F65B14}"/>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85439</xdr:rowOff>
        </xdr:from>
        <xdr:to>
          <xdr:col>0</xdr:col>
          <xdr:colOff>0</xdr:colOff>
          <xdr:row>4</xdr:row>
          <xdr:rowOff>85439</xdr:rowOff>
        </xdr:to>
        <xdr:grpSp>
          <xdr:nvGrpSpPr>
            <xdr:cNvPr id="10" name="Group 403">
              <a:extLst>
                <a:ext uri="{FF2B5EF4-FFF2-40B4-BE49-F238E27FC236}">
                  <a16:creationId xmlns:a16="http://schemas.microsoft.com/office/drawing/2014/main" id="{B001CBD9-4AB2-41E9-8FFD-A8B2A1D44AB0}"/>
                </a:ext>
              </a:extLst>
            </xdr:cNvPr>
            <xdr:cNvGrpSpPr>
              <a:grpSpLocks/>
            </xdr:cNvGrpSpPr>
          </xdr:nvGrpSpPr>
          <xdr:grpSpPr bwMode="auto">
            <a:xfrm>
              <a:off x="0" y="1028414"/>
              <a:ext cx="0" cy="0"/>
              <a:chOff x="0" y="1028414"/>
              <a:chExt cx="0" cy="0"/>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4234</xdr:colOff>
          <xdr:row>0</xdr:row>
          <xdr:rowOff>-18930274</xdr:rowOff>
        </xdr:from>
        <xdr:to>
          <xdr:col>0</xdr:col>
          <xdr:colOff>4234</xdr:colOff>
          <xdr:row>0</xdr:row>
          <xdr:rowOff>-18930274</xdr:rowOff>
        </xdr:to>
        <xdr:grpSp>
          <xdr:nvGrpSpPr>
            <xdr:cNvPr id="2" name="Group 415">
              <a:extLst>
                <a:ext uri="{FF2B5EF4-FFF2-40B4-BE49-F238E27FC236}">
                  <a16:creationId xmlns:a16="http://schemas.microsoft.com/office/drawing/2014/main" id="{540D4D63-635A-4FFB-A291-CFAA2A7A6F9E}"/>
                </a:ext>
              </a:extLst>
            </xdr:cNvPr>
            <xdr:cNvGrpSpPr>
              <a:grpSpLocks/>
            </xdr:cNvGrpSpPr>
          </xdr:nvGrpSpPr>
          <xdr:grpSpPr bwMode="auto">
            <a:xfrm>
              <a:off x="0" y="-18930274"/>
              <a:ext cx="0" cy="0"/>
              <a:chOff x="0"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a:extLst>
                <a:ext uri="{FF2B5EF4-FFF2-40B4-BE49-F238E27FC236}">
                  <a16:creationId xmlns:a16="http://schemas.microsoft.com/office/drawing/2014/main" id="{20D3D849-E74E-4AA3-AEEC-26F0B2BC30D9}"/>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4681</xdr:colOff>
          <xdr:row>2</xdr:row>
          <xdr:rowOff>85439</xdr:rowOff>
        </xdr:from>
        <xdr:to>
          <xdr:col>0</xdr:col>
          <xdr:colOff>4681</xdr:colOff>
          <xdr:row>2</xdr:row>
          <xdr:rowOff>85439</xdr:rowOff>
        </xdr:to>
        <xdr:grpSp>
          <xdr:nvGrpSpPr>
            <xdr:cNvPr id="4" name="Group 403">
              <a:extLst>
                <a:ext uri="{FF2B5EF4-FFF2-40B4-BE49-F238E27FC236}">
                  <a16:creationId xmlns:a16="http://schemas.microsoft.com/office/drawing/2014/main" id="{CC1FBBF1-94A4-4F98-A294-70C1E8F76D95}"/>
                </a:ext>
              </a:extLst>
            </xdr:cNvPr>
            <xdr:cNvGrpSpPr>
              <a:grpSpLocks/>
            </xdr:cNvGrpSpPr>
          </xdr:nvGrpSpPr>
          <xdr:grpSpPr bwMode="auto">
            <a:xfrm>
              <a:off x="0" y="609314"/>
              <a:ext cx="0" cy="0"/>
              <a:chOff x="0"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4681</xdr:colOff>
          <xdr:row>3</xdr:row>
          <xdr:rowOff>85439</xdr:rowOff>
        </xdr:from>
        <xdr:to>
          <xdr:col>0</xdr:col>
          <xdr:colOff>4681</xdr:colOff>
          <xdr:row>3</xdr:row>
          <xdr:rowOff>85439</xdr:rowOff>
        </xdr:to>
        <xdr:grpSp>
          <xdr:nvGrpSpPr>
            <xdr:cNvPr id="5" name="Group 403">
              <a:extLst>
                <a:ext uri="{FF2B5EF4-FFF2-40B4-BE49-F238E27FC236}">
                  <a16:creationId xmlns:a16="http://schemas.microsoft.com/office/drawing/2014/main" id="{B3CF32B0-C340-412C-82B0-F054FC69728B}"/>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4234</xdr:colOff>
          <xdr:row>1</xdr:row>
          <xdr:rowOff>88190</xdr:rowOff>
        </xdr:from>
        <xdr:to>
          <xdr:col>0</xdr:col>
          <xdr:colOff>4234</xdr:colOff>
          <xdr:row>1</xdr:row>
          <xdr:rowOff>88190</xdr:rowOff>
        </xdr:to>
        <xdr:grpSp>
          <xdr:nvGrpSpPr>
            <xdr:cNvPr id="6" name="Group 414">
              <a:extLst>
                <a:ext uri="{FF2B5EF4-FFF2-40B4-BE49-F238E27FC236}">
                  <a16:creationId xmlns:a16="http://schemas.microsoft.com/office/drawing/2014/main" id="{63307232-6767-46C8-BF73-5350AF8415A5}"/>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4681</xdr:colOff>
          <xdr:row>5</xdr:row>
          <xdr:rowOff>85439</xdr:rowOff>
        </xdr:from>
        <xdr:to>
          <xdr:col>0</xdr:col>
          <xdr:colOff>4681</xdr:colOff>
          <xdr:row>5</xdr:row>
          <xdr:rowOff>85439</xdr:rowOff>
        </xdr:to>
        <xdr:grpSp>
          <xdr:nvGrpSpPr>
            <xdr:cNvPr id="7" name="Group 403">
              <a:extLst>
                <a:ext uri="{FF2B5EF4-FFF2-40B4-BE49-F238E27FC236}">
                  <a16:creationId xmlns:a16="http://schemas.microsoft.com/office/drawing/2014/main" id="{CD70FCAE-5324-45C0-9BF7-5E004F926F33}"/>
                </a:ext>
              </a:extLst>
            </xdr:cNvPr>
            <xdr:cNvGrpSpPr>
              <a:grpSpLocks/>
            </xdr:cNvGrpSpPr>
          </xdr:nvGrpSpPr>
          <xdr:grpSpPr bwMode="auto">
            <a:xfrm>
              <a:off x="0" y="1237964"/>
              <a:ext cx="0" cy="0"/>
              <a:chOff x="0"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4681</xdr:colOff>
          <xdr:row>3</xdr:row>
          <xdr:rowOff>85439</xdr:rowOff>
        </xdr:from>
        <xdr:to>
          <xdr:col>0</xdr:col>
          <xdr:colOff>4681</xdr:colOff>
          <xdr:row>3</xdr:row>
          <xdr:rowOff>85439</xdr:rowOff>
        </xdr:to>
        <xdr:grpSp>
          <xdr:nvGrpSpPr>
            <xdr:cNvPr id="8" name="Group 403">
              <a:extLst>
                <a:ext uri="{FF2B5EF4-FFF2-40B4-BE49-F238E27FC236}">
                  <a16:creationId xmlns:a16="http://schemas.microsoft.com/office/drawing/2014/main" id="{F81BFE43-57CA-4368-BC94-665BD342031F}"/>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4234</xdr:colOff>
          <xdr:row>1</xdr:row>
          <xdr:rowOff>88190</xdr:rowOff>
        </xdr:from>
        <xdr:to>
          <xdr:col>0</xdr:col>
          <xdr:colOff>4234</xdr:colOff>
          <xdr:row>1</xdr:row>
          <xdr:rowOff>88190</xdr:rowOff>
        </xdr:to>
        <xdr:grpSp>
          <xdr:nvGrpSpPr>
            <xdr:cNvPr id="9" name="Group 414">
              <a:extLst>
                <a:ext uri="{FF2B5EF4-FFF2-40B4-BE49-F238E27FC236}">
                  <a16:creationId xmlns:a16="http://schemas.microsoft.com/office/drawing/2014/main" id="{42277293-9B60-4B8E-9599-1F3FFF9B89DA}"/>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4681</xdr:colOff>
          <xdr:row>4</xdr:row>
          <xdr:rowOff>85439</xdr:rowOff>
        </xdr:from>
        <xdr:to>
          <xdr:col>0</xdr:col>
          <xdr:colOff>4681</xdr:colOff>
          <xdr:row>4</xdr:row>
          <xdr:rowOff>85439</xdr:rowOff>
        </xdr:to>
        <xdr:grpSp>
          <xdr:nvGrpSpPr>
            <xdr:cNvPr id="10" name="Group 403">
              <a:extLst>
                <a:ext uri="{FF2B5EF4-FFF2-40B4-BE49-F238E27FC236}">
                  <a16:creationId xmlns:a16="http://schemas.microsoft.com/office/drawing/2014/main" id="{41885C55-D6B9-48ED-A7AC-11C9E6A5BD9D}"/>
                </a:ext>
              </a:extLst>
            </xdr:cNvPr>
            <xdr:cNvGrpSpPr>
              <a:grpSpLocks/>
            </xdr:cNvGrpSpPr>
          </xdr:nvGrpSpPr>
          <xdr:grpSpPr bwMode="auto">
            <a:xfrm>
              <a:off x="0" y="1028414"/>
              <a:ext cx="0" cy="0"/>
              <a:chOff x="0" y="1028414"/>
              <a:chExt cx="0" cy="0"/>
            </a:xfrm>
          </xdr:grpSpPr>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3" name="Group 415">
              <a:extLst>
                <a:ext uri="{FF2B5EF4-FFF2-40B4-BE49-F238E27FC236}">
                  <a16:creationId xmlns:a16="http://schemas.microsoft.com/office/drawing/2014/main" id="{6593BF97-D205-4257-9983-3CD606AF56CD}"/>
                </a:ext>
              </a:extLst>
            </xdr:cNvPr>
            <xdr:cNvGrpSpPr>
              <a:grpSpLocks/>
            </xdr:cNvGrpSpPr>
          </xdr:nvGrpSpPr>
          <xdr:grpSpPr bwMode="auto">
            <a:xfrm>
              <a:off x="4234" y="-18930274"/>
              <a:ext cx="0" cy="0"/>
              <a:chOff x="42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4" name="Group 411">
              <a:extLst>
                <a:ext uri="{FF2B5EF4-FFF2-40B4-BE49-F238E27FC236}">
                  <a16:creationId xmlns:a16="http://schemas.microsoft.com/office/drawing/2014/main" id="{D6386077-A588-4A64-9145-2A25B89A4211}"/>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5" name="Group 403">
              <a:extLst>
                <a:ext uri="{FF2B5EF4-FFF2-40B4-BE49-F238E27FC236}">
                  <a16:creationId xmlns:a16="http://schemas.microsoft.com/office/drawing/2014/main" id="{B8D364BF-63B2-49D5-8EC0-3C26036E499C}"/>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7" name="Group 403">
              <a:extLst>
                <a:ext uri="{FF2B5EF4-FFF2-40B4-BE49-F238E27FC236}">
                  <a16:creationId xmlns:a16="http://schemas.microsoft.com/office/drawing/2014/main" id="{837A77F0-8AFE-49BF-A496-B412ABA46363}"/>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8" name="Group 414">
              <a:extLst>
                <a:ext uri="{FF2B5EF4-FFF2-40B4-BE49-F238E27FC236}">
                  <a16:creationId xmlns:a16="http://schemas.microsoft.com/office/drawing/2014/main" id="{8C80978E-9B89-4444-9D85-CF0D4FDA7A5E}"/>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9" name="Group 403">
              <a:extLst>
                <a:ext uri="{FF2B5EF4-FFF2-40B4-BE49-F238E27FC236}">
                  <a16:creationId xmlns:a16="http://schemas.microsoft.com/office/drawing/2014/main" id="{506D302D-D352-4E32-BBE1-243BFBA32ABE}"/>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a:extLst>
                <a:ext uri="{FF2B5EF4-FFF2-40B4-BE49-F238E27FC236}">
                  <a16:creationId xmlns:a16="http://schemas.microsoft.com/office/drawing/2014/main" id="{8B2B75A3-37F1-4094-B192-390A138934F4}"/>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a:extLst>
                <a:ext uri="{FF2B5EF4-FFF2-40B4-BE49-F238E27FC236}">
                  <a16:creationId xmlns:a16="http://schemas.microsoft.com/office/drawing/2014/main" id="{877CABC2-331B-4E92-9A0E-4D09472D20F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2" name="Group 403">
              <a:extLst>
                <a:ext uri="{FF2B5EF4-FFF2-40B4-BE49-F238E27FC236}">
                  <a16:creationId xmlns:a16="http://schemas.microsoft.com/office/drawing/2014/main" id="{C135F7D1-071F-4DE4-AA4B-565968CC2142}"/>
                </a:ext>
              </a:extLst>
            </xdr:cNvPr>
            <xdr:cNvGrpSpPr>
              <a:grpSpLocks/>
            </xdr:cNvGrpSpPr>
          </xdr:nvGrpSpPr>
          <xdr:grpSpPr bwMode="auto">
            <a:xfrm>
              <a:off x="4681" y="1028414"/>
              <a:ext cx="0" cy="0"/>
              <a:chOff x="4681" y="1028414"/>
              <a:chExt cx="0" cy="0"/>
            </a:xfrm>
          </xdr:grpSpPr>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3" name="Group 415">
              <a:extLst>
                <a:ext uri="{FF2B5EF4-FFF2-40B4-BE49-F238E27FC236}">
                  <a16:creationId xmlns:a16="http://schemas.microsoft.com/office/drawing/2014/main" id="{00000000-0008-0000-0100-000003000000}"/>
                </a:ext>
              </a:extLst>
            </xdr:cNvPr>
            <xdr:cNvGrpSpPr>
              <a:grpSpLocks/>
            </xdr:cNvGrpSpPr>
          </xdr:nvGrpSpPr>
          <xdr:grpSpPr bwMode="auto">
            <a:xfrm>
              <a:off x="4234" y="-18930274"/>
              <a:ext cx="0" cy="0"/>
              <a:chOff x="42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4" name="Group 411">
              <a:extLst>
                <a:ext uri="{FF2B5EF4-FFF2-40B4-BE49-F238E27FC236}">
                  <a16:creationId xmlns:a16="http://schemas.microsoft.com/office/drawing/2014/main" id="{00000000-0008-0000-0100-000004000000}"/>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5" name="Group 403">
              <a:extLst>
                <a:ext uri="{FF2B5EF4-FFF2-40B4-BE49-F238E27FC236}">
                  <a16:creationId xmlns:a16="http://schemas.microsoft.com/office/drawing/2014/main" id="{00000000-0008-0000-0100-000005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6" name="Group 414">
              <a:extLst>
                <a:ext uri="{FF2B5EF4-FFF2-40B4-BE49-F238E27FC236}">
                  <a16:creationId xmlns:a16="http://schemas.microsoft.com/office/drawing/2014/main" id="{00000000-0008-0000-0100-000006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7" name="Group 403">
              <a:extLst>
                <a:ext uri="{FF2B5EF4-FFF2-40B4-BE49-F238E27FC236}">
                  <a16:creationId xmlns:a16="http://schemas.microsoft.com/office/drawing/2014/main" id="{00000000-0008-0000-0100-000007000000}"/>
                </a:ext>
              </a:extLst>
            </xdr:cNvPr>
            <xdr:cNvGrpSpPr>
              <a:grpSpLocks/>
            </xdr:cNvGrpSpPr>
          </xdr:nvGrpSpPr>
          <xdr:grpSpPr bwMode="auto">
            <a:xfrm>
              <a:off x="4681" y="1018889"/>
              <a:ext cx="0" cy="0"/>
              <a:chOff x="4681" y="1018889"/>
              <a:chExt cx="0" cy="0"/>
            </a:xfrm>
          </xdr:grpSpPr>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a:extLst>
                <a:ext uri="{FF2B5EF4-FFF2-40B4-BE49-F238E27FC236}">
                  <a16:creationId xmlns:a16="http://schemas.microsoft.com/office/drawing/2014/main" id="{00000000-0008-0000-0200-000002000000}"/>
                </a:ext>
              </a:extLst>
            </xdr:cNvPr>
            <xdr:cNvGrpSpPr>
              <a:grpSpLocks/>
            </xdr:cNvGrpSpPr>
          </xdr:nvGrpSpPr>
          <xdr:grpSpPr bwMode="auto">
            <a:xfrm>
              <a:off x="4234" y="-18930274"/>
              <a:ext cx="0" cy="0"/>
              <a:chOff x="42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a:extLst>
                <a:ext uri="{FF2B5EF4-FFF2-40B4-BE49-F238E27FC236}">
                  <a16:creationId xmlns:a16="http://schemas.microsoft.com/office/drawing/2014/main" id="{00000000-0008-0000-0200-000003000000}"/>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a:extLst>
                <a:ext uri="{FF2B5EF4-FFF2-40B4-BE49-F238E27FC236}">
                  <a16:creationId xmlns:a16="http://schemas.microsoft.com/office/drawing/2014/main" id="{00000000-0008-0000-0200-000004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a:extLst>
                <a:ext uri="{FF2B5EF4-FFF2-40B4-BE49-F238E27FC236}">
                  <a16:creationId xmlns:a16="http://schemas.microsoft.com/office/drawing/2014/main" id="{00000000-0008-0000-0200-000005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a:extLst>
                <a:ext uri="{FF2B5EF4-FFF2-40B4-BE49-F238E27FC236}">
                  <a16:creationId xmlns:a16="http://schemas.microsoft.com/office/drawing/2014/main" id="{00000000-0008-0000-0200-000006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a:extLst>
                <a:ext uri="{FF2B5EF4-FFF2-40B4-BE49-F238E27FC236}">
                  <a16:creationId xmlns:a16="http://schemas.microsoft.com/office/drawing/2014/main" id="{00000000-0008-0000-0200-000007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8" name="Group 403">
              <a:extLst>
                <a:ext uri="{FF2B5EF4-FFF2-40B4-BE49-F238E27FC236}">
                  <a16:creationId xmlns:a16="http://schemas.microsoft.com/office/drawing/2014/main" id="{00000000-0008-0000-0200-000008000000}"/>
                </a:ext>
              </a:extLst>
            </xdr:cNvPr>
            <xdr:cNvGrpSpPr>
              <a:grpSpLocks/>
            </xdr:cNvGrpSpPr>
          </xdr:nvGrpSpPr>
          <xdr:grpSpPr bwMode="auto">
            <a:xfrm>
              <a:off x="4681" y="1018889"/>
              <a:ext cx="0" cy="0"/>
              <a:chOff x="4681" y="1018889"/>
              <a:chExt cx="0" cy="0"/>
            </a:xfrm>
          </xdr:grpSpPr>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a:extLst>
                <a:ext uri="{FF2B5EF4-FFF2-40B4-BE49-F238E27FC236}">
                  <a16:creationId xmlns:a16="http://schemas.microsoft.com/office/drawing/2014/main" id="{00000000-0008-0000-0300-000002000000}"/>
                </a:ext>
              </a:extLst>
            </xdr:cNvPr>
            <xdr:cNvGrpSpPr>
              <a:grpSpLocks/>
            </xdr:cNvGrpSpPr>
          </xdr:nvGrpSpPr>
          <xdr:grpSpPr bwMode="auto">
            <a:xfrm>
              <a:off x="4234" y="-18930274"/>
              <a:ext cx="0" cy="0"/>
              <a:chOff x="42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a:extLst>
                <a:ext uri="{FF2B5EF4-FFF2-40B4-BE49-F238E27FC236}">
                  <a16:creationId xmlns:a16="http://schemas.microsoft.com/office/drawing/2014/main" id="{00000000-0008-0000-0300-000003000000}"/>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a:extLst>
                <a:ext uri="{FF2B5EF4-FFF2-40B4-BE49-F238E27FC236}">
                  <a16:creationId xmlns:a16="http://schemas.microsoft.com/office/drawing/2014/main" id="{00000000-0008-0000-0300-000004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a:extLst>
                <a:ext uri="{FF2B5EF4-FFF2-40B4-BE49-F238E27FC236}">
                  <a16:creationId xmlns:a16="http://schemas.microsoft.com/office/drawing/2014/main" id="{00000000-0008-0000-0300-000005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a:extLst>
                <a:ext uri="{FF2B5EF4-FFF2-40B4-BE49-F238E27FC236}">
                  <a16:creationId xmlns:a16="http://schemas.microsoft.com/office/drawing/2014/main" id="{00000000-0008-0000-0300-000006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a:extLst>
                <a:ext uri="{FF2B5EF4-FFF2-40B4-BE49-F238E27FC236}">
                  <a16:creationId xmlns:a16="http://schemas.microsoft.com/office/drawing/2014/main" id="{00000000-0008-0000-0300-000007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8" name="Group 403">
              <a:extLst>
                <a:ext uri="{FF2B5EF4-FFF2-40B4-BE49-F238E27FC236}">
                  <a16:creationId xmlns:a16="http://schemas.microsoft.com/office/drawing/2014/main" id="{00000000-0008-0000-0300-000008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9" name="Group 414">
              <a:extLst>
                <a:ext uri="{FF2B5EF4-FFF2-40B4-BE49-F238E27FC236}">
                  <a16:creationId xmlns:a16="http://schemas.microsoft.com/office/drawing/2014/main" id="{00000000-0008-0000-0300-000009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0" name="Group 403">
              <a:extLst>
                <a:ext uri="{FF2B5EF4-FFF2-40B4-BE49-F238E27FC236}">
                  <a16:creationId xmlns:a16="http://schemas.microsoft.com/office/drawing/2014/main" id="{00000000-0008-0000-0300-00000A000000}"/>
                </a:ext>
              </a:extLst>
            </xdr:cNvPr>
            <xdr:cNvGrpSpPr>
              <a:grpSpLocks/>
            </xdr:cNvGrpSpPr>
          </xdr:nvGrpSpPr>
          <xdr:grpSpPr bwMode="auto">
            <a:xfrm>
              <a:off x="4681" y="1018889"/>
              <a:ext cx="0" cy="0"/>
              <a:chOff x="4681" y="1018889"/>
              <a:chExt cx="0" cy="0"/>
            </a:xfrm>
          </xdr:grpSpPr>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a:extLst>
                <a:ext uri="{FF2B5EF4-FFF2-40B4-BE49-F238E27FC236}">
                  <a16:creationId xmlns:a16="http://schemas.microsoft.com/office/drawing/2014/main" id="{00000000-0008-0000-0400-000002000000}"/>
                </a:ext>
              </a:extLst>
            </xdr:cNvPr>
            <xdr:cNvGrpSpPr>
              <a:grpSpLocks/>
            </xdr:cNvGrpSpPr>
          </xdr:nvGrpSpPr>
          <xdr:grpSpPr bwMode="auto">
            <a:xfrm>
              <a:off x="4234" y="-18930274"/>
              <a:ext cx="0" cy="0"/>
              <a:chOff x="42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a:extLst>
                <a:ext uri="{FF2B5EF4-FFF2-40B4-BE49-F238E27FC236}">
                  <a16:creationId xmlns:a16="http://schemas.microsoft.com/office/drawing/2014/main" id="{00000000-0008-0000-0400-000003000000}"/>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a:extLst>
                <a:ext uri="{FF2B5EF4-FFF2-40B4-BE49-F238E27FC236}">
                  <a16:creationId xmlns:a16="http://schemas.microsoft.com/office/drawing/2014/main" id="{00000000-0008-0000-0400-000004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a:extLst>
                <a:ext uri="{FF2B5EF4-FFF2-40B4-BE49-F238E27FC236}">
                  <a16:creationId xmlns:a16="http://schemas.microsoft.com/office/drawing/2014/main" id="{00000000-0008-0000-0400-000005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a:extLst>
                <a:ext uri="{FF2B5EF4-FFF2-40B4-BE49-F238E27FC236}">
                  <a16:creationId xmlns:a16="http://schemas.microsoft.com/office/drawing/2014/main" id="{00000000-0008-0000-0400-000006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a:extLst>
                <a:ext uri="{FF2B5EF4-FFF2-40B4-BE49-F238E27FC236}">
                  <a16:creationId xmlns:a16="http://schemas.microsoft.com/office/drawing/2014/main" id="{00000000-0008-0000-0400-000007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8" name="Group 403">
              <a:extLst>
                <a:ext uri="{FF2B5EF4-FFF2-40B4-BE49-F238E27FC236}">
                  <a16:creationId xmlns:a16="http://schemas.microsoft.com/office/drawing/2014/main" id="{00000000-0008-0000-0400-000008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9" name="Group 414">
              <a:extLst>
                <a:ext uri="{FF2B5EF4-FFF2-40B4-BE49-F238E27FC236}">
                  <a16:creationId xmlns:a16="http://schemas.microsoft.com/office/drawing/2014/main" id="{00000000-0008-0000-0400-000009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a:extLst>
                <a:ext uri="{FF2B5EF4-FFF2-40B4-BE49-F238E27FC236}">
                  <a16:creationId xmlns:a16="http://schemas.microsoft.com/office/drawing/2014/main" id="{00000000-0008-0000-0400-00000A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a:extLst>
                <a:ext uri="{FF2B5EF4-FFF2-40B4-BE49-F238E27FC236}">
                  <a16:creationId xmlns:a16="http://schemas.microsoft.com/office/drawing/2014/main" id="{00000000-0008-0000-0400-00000B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2" name="Group 403">
              <a:extLst>
                <a:ext uri="{FF2B5EF4-FFF2-40B4-BE49-F238E27FC236}">
                  <a16:creationId xmlns:a16="http://schemas.microsoft.com/office/drawing/2014/main" id="{00000000-0008-0000-0400-00000C000000}"/>
                </a:ext>
              </a:extLst>
            </xdr:cNvPr>
            <xdr:cNvGrpSpPr>
              <a:grpSpLocks/>
            </xdr:cNvGrpSpPr>
          </xdr:nvGrpSpPr>
          <xdr:grpSpPr bwMode="auto">
            <a:xfrm>
              <a:off x="4681" y="1018889"/>
              <a:ext cx="0" cy="0"/>
              <a:chOff x="4681" y="1018889"/>
              <a:chExt cx="0" cy="0"/>
            </a:xfrm>
          </xdr:grpSpPr>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4234</xdr:colOff>
          <xdr:row>0</xdr:row>
          <xdr:rowOff>-18930274</xdr:rowOff>
        </xdr:from>
        <xdr:to>
          <xdr:col>1</xdr:col>
          <xdr:colOff>4234</xdr:colOff>
          <xdr:row>0</xdr:row>
          <xdr:rowOff>-18930274</xdr:rowOff>
        </xdr:to>
        <xdr:grpSp>
          <xdr:nvGrpSpPr>
            <xdr:cNvPr id="2" name="Group 415">
              <a:extLst>
                <a:ext uri="{FF2B5EF4-FFF2-40B4-BE49-F238E27FC236}">
                  <a16:creationId xmlns:a16="http://schemas.microsoft.com/office/drawing/2014/main" id="{00000000-0008-0000-0500-000002000000}"/>
                </a:ext>
              </a:extLst>
            </xdr:cNvPr>
            <xdr:cNvGrpSpPr>
              <a:grpSpLocks/>
            </xdr:cNvGrpSpPr>
          </xdr:nvGrpSpPr>
          <xdr:grpSpPr bwMode="auto">
            <a:xfrm>
              <a:off x="4234" y="-18930274"/>
              <a:ext cx="0" cy="0"/>
              <a:chOff x="4234"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a:extLst>
                <a:ext uri="{FF2B5EF4-FFF2-40B4-BE49-F238E27FC236}">
                  <a16:creationId xmlns:a16="http://schemas.microsoft.com/office/drawing/2014/main" id="{00000000-0008-0000-0500-000003000000}"/>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4" name="Group 403">
              <a:extLst>
                <a:ext uri="{FF2B5EF4-FFF2-40B4-BE49-F238E27FC236}">
                  <a16:creationId xmlns:a16="http://schemas.microsoft.com/office/drawing/2014/main" id="{00000000-0008-0000-0500-000004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5" name="Group 414">
              <a:extLst>
                <a:ext uri="{FF2B5EF4-FFF2-40B4-BE49-F238E27FC236}">
                  <a16:creationId xmlns:a16="http://schemas.microsoft.com/office/drawing/2014/main" id="{00000000-0008-0000-0500-000005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a:extLst>
                <a:ext uri="{FF2B5EF4-FFF2-40B4-BE49-F238E27FC236}">
                  <a16:creationId xmlns:a16="http://schemas.microsoft.com/office/drawing/2014/main" id="{00000000-0008-0000-0500-000006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a:extLst>
                <a:ext uri="{FF2B5EF4-FFF2-40B4-BE49-F238E27FC236}">
                  <a16:creationId xmlns:a16="http://schemas.microsoft.com/office/drawing/2014/main" id="{00000000-0008-0000-0500-000007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8" name="Group 403">
              <a:extLst>
                <a:ext uri="{FF2B5EF4-FFF2-40B4-BE49-F238E27FC236}">
                  <a16:creationId xmlns:a16="http://schemas.microsoft.com/office/drawing/2014/main" id="{00000000-0008-0000-0500-000008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9" name="Group 414">
              <a:extLst>
                <a:ext uri="{FF2B5EF4-FFF2-40B4-BE49-F238E27FC236}">
                  <a16:creationId xmlns:a16="http://schemas.microsoft.com/office/drawing/2014/main" id="{00000000-0008-0000-0500-000009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a:extLst>
                <a:ext uri="{FF2B5EF4-FFF2-40B4-BE49-F238E27FC236}">
                  <a16:creationId xmlns:a16="http://schemas.microsoft.com/office/drawing/2014/main" id="{00000000-0008-0000-0500-00000A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a:extLst>
                <a:ext uri="{FF2B5EF4-FFF2-40B4-BE49-F238E27FC236}">
                  <a16:creationId xmlns:a16="http://schemas.microsoft.com/office/drawing/2014/main" id="{00000000-0008-0000-0500-00000B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2" name="Group 403">
              <a:extLst>
                <a:ext uri="{FF2B5EF4-FFF2-40B4-BE49-F238E27FC236}">
                  <a16:creationId xmlns:a16="http://schemas.microsoft.com/office/drawing/2014/main" id="{00000000-0008-0000-0500-00000C000000}"/>
                </a:ext>
              </a:extLst>
            </xdr:cNvPr>
            <xdr:cNvGrpSpPr>
              <a:grpSpLocks/>
            </xdr:cNvGrpSpPr>
          </xdr:nvGrpSpPr>
          <xdr:grpSpPr bwMode="auto">
            <a:xfrm>
              <a:off x="4681" y="809339"/>
              <a:ext cx="0" cy="0"/>
              <a:chOff x="4681" y="80933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3" name="Group 414">
              <a:extLst>
                <a:ext uri="{FF2B5EF4-FFF2-40B4-BE49-F238E27FC236}">
                  <a16:creationId xmlns:a16="http://schemas.microsoft.com/office/drawing/2014/main" id="{00000000-0008-0000-0500-00000D000000}"/>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4" name="Group 403">
              <a:extLst>
                <a:ext uri="{FF2B5EF4-FFF2-40B4-BE49-F238E27FC236}">
                  <a16:creationId xmlns:a16="http://schemas.microsoft.com/office/drawing/2014/main" id="{00000000-0008-0000-0500-00000E000000}"/>
                </a:ext>
              </a:extLst>
            </xdr:cNvPr>
            <xdr:cNvGrpSpPr>
              <a:grpSpLocks/>
            </xdr:cNvGrpSpPr>
          </xdr:nvGrpSpPr>
          <xdr:grpSpPr bwMode="auto">
            <a:xfrm>
              <a:off x="4681" y="1018889"/>
              <a:ext cx="0" cy="0"/>
              <a:chOff x="4681" y="1018889"/>
              <a:chExt cx="0" cy="0"/>
            </a:xfrm>
          </xdr:grpSpPr>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2.xml"/><Relationship Id="rId4" Type="http://schemas.openxmlformats.org/officeDocument/2006/relationships/vmlDrawing" Target="../drawings/vmlDrawing1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pageSetUpPr fitToPage="1"/>
  </sheetPr>
  <dimension ref="A1:M134"/>
  <sheetViews>
    <sheetView tabSelected="1" topLeftCell="B1" zoomScaleNormal="100" zoomScaleSheetLayoutView="110" workbookViewId="0">
      <selection activeCell="C2" sqref="C2:I2"/>
    </sheetView>
  </sheetViews>
  <sheetFormatPr baseColWidth="10" defaultColWidth="11.42578125" defaultRowHeight="15" x14ac:dyDescent="0.25"/>
  <cols>
    <col min="1" max="1" width="4.42578125" style="163" hidden="1" customWidth="1"/>
    <col min="2" max="2" width="10.5703125" style="3" customWidth="1"/>
    <col min="3" max="3" width="51.5703125" style="164" customWidth="1"/>
    <col min="4" max="4" width="45.140625" style="161" customWidth="1"/>
    <col min="5" max="5" width="10" style="157" customWidth="1"/>
    <col min="6" max="6" width="11.42578125" style="158" customWidth="1"/>
    <col min="7" max="7" width="9" style="159" hidden="1" customWidth="1"/>
    <col min="8" max="8" width="11.42578125" style="160" hidden="1" customWidth="1"/>
    <col min="9" max="9" width="11.85546875" style="17" customWidth="1"/>
    <col min="10" max="10" width="33.5703125" style="162" customWidth="1"/>
    <col min="11" max="12" width="39.28515625" style="158" customWidth="1"/>
    <col min="13" max="16384" width="11.42578125" style="17"/>
  </cols>
  <sheetData>
    <row r="1" spans="1:12" ht="24" customHeight="1" thickTop="1" thickBot="1" x14ac:dyDescent="0.4">
      <c r="A1" s="15"/>
      <c r="B1" s="636" t="str">
        <f>"AUTOBAREMACION PROYECTOS "&amp;LEFT(C8,8)</f>
        <v xml:space="preserve">AUTOBAREMACION PROYECTOS Linea 3 </v>
      </c>
      <c r="C1" s="636"/>
      <c r="D1" s="636"/>
      <c r="E1" s="16"/>
      <c r="F1" s="637"/>
      <c r="G1" s="637"/>
      <c r="H1" s="637"/>
      <c r="I1" s="637"/>
      <c r="J1" s="572" t="s">
        <v>1182</v>
      </c>
      <c r="K1" s="624"/>
      <c r="L1" s="625"/>
    </row>
    <row r="2" spans="1:12" ht="16.5" thickTop="1" thickBot="1" x14ac:dyDescent="0.3">
      <c r="A2" s="18"/>
      <c r="B2" s="19" t="s">
        <v>3</v>
      </c>
      <c r="C2" s="638"/>
      <c r="D2" s="638"/>
      <c r="E2" s="638"/>
      <c r="F2" s="638"/>
      <c r="G2" s="638"/>
      <c r="H2" s="638"/>
      <c r="I2" s="638"/>
      <c r="J2" s="20" t="str">
        <f>IF(LEN(C2)&gt;Listas!A59,Listas!B59,IF(LEN(C2)&lt;Listas!A58,Listas!B58,""))</f>
        <v>Texto  muy breve</v>
      </c>
      <c r="K2" s="21"/>
      <c r="L2" s="22"/>
    </row>
    <row r="3" spans="1:12" ht="16.5" thickTop="1" thickBot="1" x14ac:dyDescent="0.3">
      <c r="A3" s="18"/>
      <c r="B3" s="19" t="s">
        <v>572</v>
      </c>
      <c r="C3" s="629"/>
      <c r="D3" s="629"/>
      <c r="E3" s="23" t="s">
        <v>915</v>
      </c>
      <c r="F3" s="629"/>
      <c r="G3" s="629"/>
      <c r="H3" s="629"/>
      <c r="I3" s="629"/>
      <c r="J3" s="20" t="str">
        <f>IF(LEN(C3)&gt;Listas!A59,Listas!B59,IF(LEN(C3)&lt;Listas!A58,Listas!B58,""))</f>
        <v>Texto  muy breve</v>
      </c>
      <c r="K3" s="21"/>
      <c r="L3" s="22"/>
    </row>
    <row r="4" spans="1:12" ht="16.5" thickTop="1" thickBot="1" x14ac:dyDescent="0.3">
      <c r="A4" s="18"/>
      <c r="B4" s="19" t="s">
        <v>13</v>
      </c>
      <c r="C4" s="629"/>
      <c r="D4" s="629"/>
      <c r="E4" s="634" t="str">
        <f>IF(G4="",Listas!A36,"")</f>
        <v>Municipio no seleccionado</v>
      </c>
      <c r="F4" s="634"/>
      <c r="G4" s="24" t="str">
        <f>IFERROR(LOOKUP(C4,Listas!A11:A21,Listas!B11:B21),"")</f>
        <v/>
      </c>
      <c r="H4" s="25" t="s">
        <v>983</v>
      </c>
      <c r="I4" s="26" t="str">
        <f>IFERROR(LOOKUP(G4,Listas!B11:B21,Listas!C11:C21),"")</f>
        <v/>
      </c>
      <c r="J4" s="20"/>
      <c r="K4" s="21"/>
      <c r="L4" s="22"/>
    </row>
    <row r="5" spans="1:12" ht="16.5" thickTop="1" thickBot="1" x14ac:dyDescent="0.3">
      <c r="A5" s="18"/>
      <c r="B5" s="19" t="s">
        <v>155</v>
      </c>
      <c r="C5" s="27">
        <v>44136</v>
      </c>
      <c r="D5" s="634" t="str">
        <f>IF(C5&lt;Listas!A61,Listas!B61,IF(C5&gt;Listas!A62,Listas!B61,""))</f>
        <v/>
      </c>
      <c r="E5" s="634"/>
      <c r="F5" s="28"/>
      <c r="G5" s="24"/>
      <c r="H5" s="29"/>
      <c r="I5" s="30"/>
      <c r="J5" s="31" t="str">
        <f>IF(H16=0,Listas!A28,"")</f>
        <v>No crea empleo</v>
      </c>
      <c r="K5" s="32"/>
      <c r="L5" s="33"/>
    </row>
    <row r="6" spans="1:12" ht="24" thickTop="1" thickBot="1" x14ac:dyDescent="0.3">
      <c r="A6" s="18"/>
      <c r="B6" s="19" t="s">
        <v>353</v>
      </c>
      <c r="C6" s="34"/>
      <c r="D6" s="595"/>
      <c r="E6" s="35"/>
      <c r="F6" s="28"/>
      <c r="G6" s="24"/>
      <c r="H6" s="29"/>
      <c r="I6" s="30"/>
      <c r="J6" s="31" t="str">
        <f>IF($H$39=0,Listas!$A$29,"")</f>
        <v>No contribuye a la lucha contra el cambio climático</v>
      </c>
      <c r="K6" s="32"/>
      <c r="L6" s="33"/>
    </row>
    <row r="7" spans="1:12" ht="16.5" thickTop="1" thickBot="1" x14ac:dyDescent="0.3">
      <c r="A7" s="18"/>
      <c r="B7" s="19" t="s">
        <v>352</v>
      </c>
      <c r="C7" s="36" t="s">
        <v>22</v>
      </c>
      <c r="D7" s="635" t="str">
        <f>IF(IFERROR(LOOKUP(C8,Listas!A52:A56,Listas!F52:F56),Listas!A38)&lt;&gt;C7,Listas!A39,"")</f>
        <v/>
      </c>
      <c r="E7" s="635"/>
      <c r="F7" s="635"/>
      <c r="G7" s="24"/>
      <c r="H7" s="29"/>
      <c r="I7" s="30"/>
      <c r="J7" s="31" t="str">
        <f>IF($H$46=0,Listas!$A$30,"")</f>
        <v>No fomenta la igualdad H/M</v>
      </c>
      <c r="K7" s="32"/>
      <c r="L7" s="33"/>
    </row>
    <row r="8" spans="1:12" ht="16.5" thickTop="1" thickBot="1" x14ac:dyDescent="0.3">
      <c r="A8" s="18"/>
      <c r="B8" s="19" t="s">
        <v>500</v>
      </c>
      <c r="C8" s="628" t="s">
        <v>1181</v>
      </c>
      <c r="D8" s="628"/>
      <c r="E8" s="628"/>
      <c r="F8" s="628"/>
      <c r="G8" s="24"/>
      <c r="H8" s="29"/>
      <c r="I8" s="30"/>
      <c r="J8" s="31" t="str">
        <f>IF($H$54=0,Listas!$A$31,"")</f>
        <v>No fomenta la participacion juvenil</v>
      </c>
      <c r="K8" s="37"/>
      <c r="L8" s="38"/>
    </row>
    <row r="9" spans="1:12" ht="16.5" thickTop="1" thickBot="1" x14ac:dyDescent="0.3">
      <c r="A9" s="18"/>
      <c r="B9" s="19" t="s">
        <v>156</v>
      </c>
      <c r="C9" s="39" t="s">
        <v>2</v>
      </c>
      <c r="D9" s="40" t="str">
        <f>IFERROR(LOOKUP(C9,Listas!A8:A9,Listas!B8:B9),Listas!A37)</f>
        <v/>
      </c>
      <c r="E9" s="41"/>
      <c r="F9" s="42" t="s">
        <v>984</v>
      </c>
      <c r="G9" s="24">
        <f>IF(C9=Listas!A8,1,2)</f>
        <v>2</v>
      </c>
      <c r="H9" s="29"/>
      <c r="I9" s="30"/>
      <c r="J9" s="31" t="str">
        <f>IF($H$119=0,Listas!$A$32,"")</f>
        <v>No hay innovación</v>
      </c>
      <c r="K9" s="43"/>
      <c r="L9" s="44"/>
    </row>
    <row r="10" spans="1:12" ht="16.5" thickTop="1" thickBot="1" x14ac:dyDescent="0.3">
      <c r="A10" s="18"/>
      <c r="B10" s="19" t="s">
        <v>335</v>
      </c>
      <c r="C10" s="39" t="s">
        <v>160</v>
      </c>
      <c r="D10" s="40" t="str">
        <f>IFERROR(LOOKUP(C10,Listas!A2:A3,Listas!B2:B3),Listas!A37)</f>
        <v/>
      </c>
      <c r="E10" s="41"/>
      <c r="F10" s="45" t="s">
        <v>159</v>
      </c>
      <c r="G10" s="24">
        <f>IF(C10=Listas!A3,1,2)</f>
        <v>1</v>
      </c>
      <c r="H10" s="29"/>
      <c r="I10" s="626">
        <f>I14+I30+I35+I39+I46+I54+I62+I68+I72+I76+I81+I85+I119+I128</f>
        <v>0</v>
      </c>
      <c r="J10" s="31" t="str">
        <f>IF($H$128=0,Listas!$A$33,"")</f>
        <v>No indica necesidades</v>
      </c>
      <c r="K10" s="37"/>
      <c r="L10" s="38"/>
    </row>
    <row r="11" spans="1:12" ht="16.5" thickTop="1" thickBot="1" x14ac:dyDescent="0.3">
      <c r="A11" s="18"/>
      <c r="B11" s="46" t="s">
        <v>157</v>
      </c>
      <c r="C11" s="47">
        <f>Presupuesto!L9</f>
        <v>0</v>
      </c>
      <c r="D11" s="40" t="str">
        <f>IF(C11&lt;Listas!A64,Listas!B64,IF(C11&gt;Listas!A65,Listas!B65,""))</f>
        <v/>
      </c>
      <c r="E11" s="48"/>
      <c r="F11" s="49"/>
      <c r="G11" s="24"/>
      <c r="H11" s="50" t="s">
        <v>161</v>
      </c>
      <c r="I11" s="627"/>
      <c r="J11" s="51" t="str">
        <f>IF(I10&lt;25,Listas!A34,"")</f>
        <v>Puntuación &lt; 25</v>
      </c>
      <c r="K11" s="52"/>
      <c r="L11" s="33"/>
    </row>
    <row r="12" spans="1:12" s="58" customFormat="1" ht="16.5" thickTop="1" thickBot="1" x14ac:dyDescent="0.3">
      <c r="A12" s="53" t="s">
        <v>339</v>
      </c>
      <c r="B12" s="54"/>
      <c r="C12" s="55"/>
      <c r="D12" s="55"/>
      <c r="E12" s="55"/>
      <c r="F12" s="55"/>
      <c r="G12" s="55"/>
      <c r="H12" s="55"/>
      <c r="I12" s="55"/>
      <c r="J12" s="56"/>
      <c r="K12" s="57"/>
      <c r="L12" s="57"/>
    </row>
    <row r="13" spans="1:12" s="64" customFormat="1" ht="45.75" thickBot="1" x14ac:dyDescent="0.25">
      <c r="A13" s="53" t="s">
        <v>164</v>
      </c>
      <c r="B13" s="59" t="s">
        <v>47</v>
      </c>
      <c r="C13" s="60" t="s">
        <v>48</v>
      </c>
      <c r="D13" s="60" t="s">
        <v>49</v>
      </c>
      <c r="E13" s="61" t="s">
        <v>50</v>
      </c>
      <c r="F13" s="62" t="s">
        <v>1145</v>
      </c>
      <c r="G13" s="62" t="s">
        <v>167</v>
      </c>
      <c r="H13" s="61" t="s">
        <v>166</v>
      </c>
      <c r="I13" s="61" t="s">
        <v>1009</v>
      </c>
      <c r="J13" s="63" t="s">
        <v>575</v>
      </c>
      <c r="K13" s="538" t="s">
        <v>1010</v>
      </c>
      <c r="L13" s="529" t="s">
        <v>1011</v>
      </c>
    </row>
    <row r="14" spans="1:12" ht="68.25" thickBot="1" x14ac:dyDescent="0.3">
      <c r="A14" s="65" t="s">
        <v>164</v>
      </c>
      <c r="B14" s="66" t="s">
        <v>30</v>
      </c>
      <c r="C14" s="67" t="s">
        <v>31</v>
      </c>
      <c r="D14" s="69" t="s">
        <v>1025</v>
      </c>
      <c r="E14" s="68">
        <v>20</v>
      </c>
      <c r="F14" s="69" t="s">
        <v>18</v>
      </c>
      <c r="G14" s="70"/>
      <c r="H14" s="71"/>
      <c r="I14" s="72">
        <f>IF((I15+I21+I27)&gt;E14,E14,(I15+I21+I27))</f>
        <v>0</v>
      </c>
      <c r="J14" s="73" t="s">
        <v>1146</v>
      </c>
      <c r="K14" s="539" t="s">
        <v>974</v>
      </c>
      <c r="L14" s="530" t="s">
        <v>970</v>
      </c>
    </row>
    <row r="15" spans="1:12" ht="15.75" thickBot="1" x14ac:dyDescent="0.3">
      <c r="A15" s="15" t="s">
        <v>165</v>
      </c>
      <c r="B15" s="74" t="s">
        <v>32</v>
      </c>
      <c r="C15" s="317"/>
      <c r="D15" s="596"/>
      <c r="E15" s="75">
        <v>20</v>
      </c>
      <c r="F15" s="76" t="s">
        <v>1026</v>
      </c>
      <c r="G15" s="77"/>
      <c r="H15" s="78">
        <f>H16</f>
        <v>0</v>
      </c>
      <c r="I15" s="79">
        <f>IF(SUM(I16:I20)&gt;E15,E15,SUM(I16:I20))</f>
        <v>0</v>
      </c>
      <c r="J15" s="547" t="s">
        <v>982</v>
      </c>
      <c r="K15" s="80"/>
      <c r="L15" s="531"/>
    </row>
    <row r="16" spans="1:12" ht="34.5" thickBot="1" x14ac:dyDescent="0.3">
      <c r="A16" s="53" t="s">
        <v>166</v>
      </c>
      <c r="B16" s="81" t="s">
        <v>33</v>
      </c>
      <c r="C16" s="82" t="s">
        <v>844</v>
      </c>
      <c r="D16" s="84" t="s">
        <v>1020</v>
      </c>
      <c r="E16" s="83">
        <v>20</v>
      </c>
      <c r="F16" s="84" t="s">
        <v>1026</v>
      </c>
      <c r="G16" s="85">
        <v>2</v>
      </c>
      <c r="H16" s="86">
        <f>Empleo!I13</f>
        <v>0</v>
      </c>
      <c r="I16" s="87">
        <f t="shared" ref="I16:I20" si="0">IF(H16*G16&gt;E16,E16,H16*G16)</f>
        <v>0</v>
      </c>
      <c r="J16" s="88"/>
      <c r="K16" s="540" t="s">
        <v>991</v>
      </c>
      <c r="L16" s="532" t="s">
        <v>1120</v>
      </c>
    </row>
    <row r="17" spans="1:13" ht="34.5" thickBot="1" x14ac:dyDescent="0.3">
      <c r="A17" s="53" t="s">
        <v>166</v>
      </c>
      <c r="B17" s="89" t="s">
        <v>34</v>
      </c>
      <c r="C17" s="90" t="s">
        <v>845</v>
      </c>
      <c r="D17" s="92" t="s">
        <v>1021</v>
      </c>
      <c r="E17" s="91">
        <v>10</v>
      </c>
      <c r="F17" s="92" t="s">
        <v>1026</v>
      </c>
      <c r="G17" s="93">
        <v>0.5</v>
      </c>
      <c r="H17" s="94">
        <f>Empleo!E13+Empleo!G13</f>
        <v>0</v>
      </c>
      <c r="I17" s="95">
        <f t="shared" si="0"/>
        <v>0</v>
      </c>
      <c r="J17" s="88"/>
      <c r="K17" s="541" t="s">
        <v>991</v>
      </c>
      <c r="L17" s="533" t="s">
        <v>1121</v>
      </c>
    </row>
    <row r="18" spans="1:13" ht="34.5" thickBot="1" x14ac:dyDescent="0.3">
      <c r="A18" s="53" t="s">
        <v>166</v>
      </c>
      <c r="B18" s="81" t="s">
        <v>36</v>
      </c>
      <c r="C18" s="82" t="s">
        <v>846</v>
      </c>
      <c r="D18" s="84" t="s">
        <v>1022</v>
      </c>
      <c r="E18" s="83">
        <v>10</v>
      </c>
      <c r="F18" s="84" t="s">
        <v>1026</v>
      </c>
      <c r="G18" s="85">
        <v>0.5</v>
      </c>
      <c r="H18" s="86">
        <f>Empleo!G13+Empleo!H13</f>
        <v>0</v>
      </c>
      <c r="I18" s="87">
        <f t="shared" si="0"/>
        <v>0</v>
      </c>
      <c r="J18" s="88"/>
      <c r="K18" s="540" t="s">
        <v>991</v>
      </c>
      <c r="L18" s="532" t="s">
        <v>1121</v>
      </c>
      <c r="M18" s="96"/>
    </row>
    <row r="19" spans="1:13" ht="34.5" thickBot="1" x14ac:dyDescent="0.3">
      <c r="A19" s="53" t="s">
        <v>166</v>
      </c>
      <c r="B19" s="89" t="s">
        <v>37</v>
      </c>
      <c r="C19" s="90" t="s">
        <v>847</v>
      </c>
      <c r="D19" s="92" t="s">
        <v>1023</v>
      </c>
      <c r="E19" s="91">
        <v>10</v>
      </c>
      <c r="F19" s="92" t="s">
        <v>1026</v>
      </c>
      <c r="G19" s="93">
        <v>0.5</v>
      </c>
      <c r="H19" s="94">
        <f>Empleo!J13</f>
        <v>0</v>
      </c>
      <c r="I19" s="95">
        <f t="shared" si="0"/>
        <v>0</v>
      </c>
      <c r="J19" s="88"/>
      <c r="K19" s="541" t="s">
        <v>991</v>
      </c>
      <c r="L19" s="533" t="s">
        <v>1122</v>
      </c>
    </row>
    <row r="20" spans="1:13" ht="34.5" thickBot="1" x14ac:dyDescent="0.3">
      <c r="A20" s="53" t="s">
        <v>166</v>
      </c>
      <c r="B20" s="81" t="s">
        <v>38</v>
      </c>
      <c r="C20" s="82" t="s">
        <v>848</v>
      </c>
      <c r="D20" s="84" t="s">
        <v>1024</v>
      </c>
      <c r="E20" s="83">
        <v>10</v>
      </c>
      <c r="F20" s="84" t="s">
        <v>1026</v>
      </c>
      <c r="G20" s="85">
        <v>0.5</v>
      </c>
      <c r="H20" s="86">
        <f>Empleo!K13</f>
        <v>0</v>
      </c>
      <c r="I20" s="87">
        <f t="shared" si="0"/>
        <v>0</v>
      </c>
      <c r="J20" s="88"/>
      <c r="K20" s="540" t="s">
        <v>991</v>
      </c>
      <c r="L20" s="532" t="s">
        <v>1110</v>
      </c>
    </row>
    <row r="21" spans="1:13" ht="45.75" thickBot="1" x14ac:dyDescent="0.3">
      <c r="A21" s="15" t="s">
        <v>165</v>
      </c>
      <c r="B21" s="74" t="s">
        <v>39</v>
      </c>
      <c r="C21" s="317"/>
      <c r="D21" s="596" t="s">
        <v>1028</v>
      </c>
      <c r="E21" s="75">
        <v>6</v>
      </c>
      <c r="F21" s="76" t="s">
        <v>1026</v>
      </c>
      <c r="G21" s="77"/>
      <c r="H21" s="78">
        <f>SUM(H22:H26)</f>
        <v>0</v>
      </c>
      <c r="I21" s="78">
        <f>IF(I15&gt;0,IF(SUM(I22:I26)&gt;E21,E21,SUM(I22:I26)),0)</f>
        <v>0</v>
      </c>
      <c r="J21" s="547" t="s">
        <v>958</v>
      </c>
      <c r="K21" s="80"/>
      <c r="L21" s="531"/>
    </row>
    <row r="22" spans="1:13" ht="34.5" thickBot="1" x14ac:dyDescent="0.3">
      <c r="A22" s="53" t="s">
        <v>166</v>
      </c>
      <c r="B22" s="81" t="s">
        <v>40</v>
      </c>
      <c r="C22" s="82" t="s">
        <v>1014</v>
      </c>
      <c r="D22" s="84" t="s">
        <v>1015</v>
      </c>
      <c r="E22" s="83">
        <v>6</v>
      </c>
      <c r="F22" s="84" t="s">
        <v>1026</v>
      </c>
      <c r="G22" s="97">
        <v>0.5</v>
      </c>
      <c r="H22" s="86">
        <f>Empleo!I24</f>
        <v>0</v>
      </c>
      <c r="I22" s="87">
        <f t="shared" ref="I22:I26" si="1">IF(H22*G22&gt;E22,E22,H22*G22)</f>
        <v>0</v>
      </c>
      <c r="J22" s="88"/>
      <c r="K22" s="540" t="s">
        <v>992</v>
      </c>
      <c r="L22" s="532" t="s">
        <v>992</v>
      </c>
    </row>
    <row r="23" spans="1:13" ht="34.5" thickBot="1" x14ac:dyDescent="0.3">
      <c r="A23" s="53" t="s">
        <v>166</v>
      </c>
      <c r="B23" s="89" t="s">
        <v>41</v>
      </c>
      <c r="C23" s="90" t="s">
        <v>849</v>
      </c>
      <c r="D23" s="92" t="s">
        <v>1016</v>
      </c>
      <c r="E23" s="91">
        <v>3</v>
      </c>
      <c r="F23" s="92" t="s">
        <v>1026</v>
      </c>
      <c r="G23" s="98">
        <v>0.25</v>
      </c>
      <c r="H23" s="94">
        <f>Empleo!E24+Empleo!G24</f>
        <v>0</v>
      </c>
      <c r="I23" s="95">
        <f t="shared" si="1"/>
        <v>0</v>
      </c>
      <c r="J23" s="88"/>
      <c r="K23" s="541" t="s">
        <v>1121</v>
      </c>
      <c r="L23" s="533" t="s">
        <v>1121</v>
      </c>
    </row>
    <row r="24" spans="1:13" ht="34.5" thickBot="1" x14ac:dyDescent="0.3">
      <c r="A24" s="53" t="s">
        <v>166</v>
      </c>
      <c r="B24" s="81" t="s">
        <v>42</v>
      </c>
      <c r="C24" s="82" t="s">
        <v>850</v>
      </c>
      <c r="D24" s="84" t="s">
        <v>1017</v>
      </c>
      <c r="E24" s="83">
        <v>3</v>
      </c>
      <c r="F24" s="84" t="s">
        <v>1026</v>
      </c>
      <c r="G24" s="97">
        <v>0.25</v>
      </c>
      <c r="H24" s="86">
        <f>Empleo!G24+Empleo!H24</f>
        <v>0</v>
      </c>
      <c r="I24" s="87">
        <f t="shared" si="1"/>
        <v>0</v>
      </c>
      <c r="J24" s="88"/>
      <c r="K24" s="540" t="s">
        <v>1121</v>
      </c>
      <c r="L24" s="532" t="s">
        <v>1121</v>
      </c>
    </row>
    <row r="25" spans="1:13" ht="45.75" thickBot="1" x14ac:dyDescent="0.3">
      <c r="A25" s="53" t="s">
        <v>166</v>
      </c>
      <c r="B25" s="89" t="s">
        <v>43</v>
      </c>
      <c r="C25" s="90" t="s">
        <v>851</v>
      </c>
      <c r="D25" s="92" t="s">
        <v>1018</v>
      </c>
      <c r="E25" s="91">
        <v>3</v>
      </c>
      <c r="F25" s="92" t="s">
        <v>1026</v>
      </c>
      <c r="G25" s="98">
        <v>0.25</v>
      </c>
      <c r="H25" s="94">
        <f>Empleo!J24</f>
        <v>0</v>
      </c>
      <c r="I25" s="95">
        <f t="shared" si="1"/>
        <v>0</v>
      </c>
      <c r="J25" s="88"/>
      <c r="K25" s="542" t="s">
        <v>1108</v>
      </c>
      <c r="L25" s="533" t="s">
        <v>1111</v>
      </c>
    </row>
    <row r="26" spans="1:13" ht="45.75" thickBot="1" x14ac:dyDescent="0.3">
      <c r="A26" s="53" t="s">
        <v>166</v>
      </c>
      <c r="B26" s="81" t="s">
        <v>44</v>
      </c>
      <c r="C26" s="82" t="s">
        <v>852</v>
      </c>
      <c r="D26" s="84" t="s">
        <v>1019</v>
      </c>
      <c r="E26" s="83">
        <v>3</v>
      </c>
      <c r="F26" s="84" t="s">
        <v>1026</v>
      </c>
      <c r="G26" s="97">
        <v>0.25</v>
      </c>
      <c r="H26" s="86">
        <f>Empleo!K24</f>
        <v>0</v>
      </c>
      <c r="I26" s="87">
        <f t="shared" si="1"/>
        <v>0</v>
      </c>
      <c r="J26" s="88"/>
      <c r="K26" s="543" t="s">
        <v>1109</v>
      </c>
      <c r="L26" s="532" t="s">
        <v>1110</v>
      </c>
    </row>
    <row r="27" spans="1:13" ht="45.75" thickBot="1" x14ac:dyDescent="0.3">
      <c r="A27" s="15" t="s">
        <v>165</v>
      </c>
      <c r="B27" s="74" t="s">
        <v>571</v>
      </c>
      <c r="C27" s="317"/>
      <c r="D27" s="596" t="s">
        <v>1027</v>
      </c>
      <c r="E27" s="75">
        <v>6</v>
      </c>
      <c r="F27" s="76" t="s">
        <v>1026</v>
      </c>
      <c r="G27" s="77"/>
      <c r="H27" s="78">
        <f>SUM(H28:H29)</f>
        <v>0</v>
      </c>
      <c r="I27" s="99">
        <f>IF(I15&gt;0,IF(SUM(I28:I29)&gt;E27,E27,SUM(I28:I29)),0)</f>
        <v>0</v>
      </c>
      <c r="J27" s="547" t="s">
        <v>959</v>
      </c>
      <c r="K27" s="80"/>
      <c r="L27" s="531"/>
    </row>
    <row r="28" spans="1:13" ht="34.5" thickBot="1" x14ac:dyDescent="0.3">
      <c r="A28" s="53" t="s">
        <v>166</v>
      </c>
      <c r="B28" s="81" t="s">
        <v>45</v>
      </c>
      <c r="C28" s="82" t="s">
        <v>853</v>
      </c>
      <c r="D28" s="84" t="s">
        <v>1012</v>
      </c>
      <c r="E28" s="83">
        <v>6</v>
      </c>
      <c r="F28" s="84" t="s">
        <v>1026</v>
      </c>
      <c r="G28" s="97">
        <v>0.5</v>
      </c>
      <c r="H28" s="86">
        <f>Empleo!I31</f>
        <v>0</v>
      </c>
      <c r="I28" s="87">
        <f>IF(H28*G28&gt;E28,E28,H28*G28)</f>
        <v>0</v>
      </c>
      <c r="J28" s="88"/>
      <c r="K28" s="543" t="s">
        <v>993</v>
      </c>
      <c r="L28" s="532" t="s">
        <v>993</v>
      </c>
    </row>
    <row r="29" spans="1:13" ht="45.75" thickBot="1" x14ac:dyDescent="0.3">
      <c r="A29" s="53" t="s">
        <v>166</v>
      </c>
      <c r="B29" s="89" t="s">
        <v>46</v>
      </c>
      <c r="C29" s="90" t="s">
        <v>854</v>
      </c>
      <c r="D29" s="92" t="s">
        <v>1013</v>
      </c>
      <c r="E29" s="91">
        <v>2</v>
      </c>
      <c r="F29" s="92" t="s">
        <v>1026</v>
      </c>
      <c r="G29" s="98">
        <v>0.25</v>
      </c>
      <c r="H29" s="94">
        <f>Empleo!L13+Empleo!L22++Empleo!L31</f>
        <v>0</v>
      </c>
      <c r="I29" s="95">
        <f>IF(H29*G29&gt;E29,E29,H29*G29)</f>
        <v>0</v>
      </c>
      <c r="J29" s="88"/>
      <c r="K29" s="542" t="s">
        <v>994</v>
      </c>
      <c r="L29" s="533" t="s">
        <v>1107</v>
      </c>
    </row>
    <row r="30" spans="1:13" ht="23.25" thickBot="1" x14ac:dyDescent="0.3">
      <c r="A30" s="65" t="s">
        <v>164</v>
      </c>
      <c r="B30" s="66" t="s">
        <v>51</v>
      </c>
      <c r="C30" s="67" t="s">
        <v>52</v>
      </c>
      <c r="D30" s="69" t="s">
        <v>35</v>
      </c>
      <c r="E30" s="68">
        <v>5</v>
      </c>
      <c r="F30" s="69" t="s">
        <v>18</v>
      </c>
      <c r="G30" s="70"/>
      <c r="H30" s="71"/>
      <c r="I30" s="72">
        <f>SUM(I31:I34)</f>
        <v>0</v>
      </c>
      <c r="J30" s="73" t="s">
        <v>961</v>
      </c>
      <c r="K30" s="539"/>
      <c r="L30" s="530"/>
    </row>
    <row r="31" spans="1:13" ht="34.5" thickBot="1" x14ac:dyDescent="0.3">
      <c r="A31" s="65" t="s">
        <v>166</v>
      </c>
      <c r="B31" s="100" t="s">
        <v>53</v>
      </c>
      <c r="C31" s="101" t="s">
        <v>838</v>
      </c>
      <c r="D31" s="103" t="s">
        <v>927</v>
      </c>
      <c r="E31" s="102">
        <v>3</v>
      </c>
      <c r="F31" s="103" t="s">
        <v>54</v>
      </c>
      <c r="G31" s="97">
        <v>3</v>
      </c>
      <c r="H31" s="104" t="str">
        <f>IF(H$34="No",IF($I$4=1,"Si","No"),"No")</f>
        <v>No</v>
      </c>
      <c r="I31" s="87">
        <f>IF(SUM(I32:I$34)=0,IF(H31=Listas!$A$3,E31,0),0)</f>
        <v>0</v>
      </c>
      <c r="J31" s="105"/>
      <c r="K31" s="544" t="s">
        <v>1117</v>
      </c>
      <c r="L31" s="534" t="s">
        <v>1118</v>
      </c>
    </row>
    <row r="32" spans="1:13" ht="34.5" thickBot="1" x14ac:dyDescent="0.3">
      <c r="A32" s="53" t="s">
        <v>166</v>
      </c>
      <c r="B32" s="89" t="s">
        <v>55</v>
      </c>
      <c r="C32" s="90" t="s">
        <v>839</v>
      </c>
      <c r="D32" s="92" t="s">
        <v>928</v>
      </c>
      <c r="E32" s="91">
        <v>4</v>
      </c>
      <c r="F32" s="92" t="s">
        <v>54</v>
      </c>
      <c r="G32" s="98">
        <v>4</v>
      </c>
      <c r="H32" s="106" t="str">
        <f>IF(H$34="No",IF($I$4=2,"Si","No"),"No")</f>
        <v>No</v>
      </c>
      <c r="I32" s="95">
        <f>IF(SUM(I33:I$34)=0,IF(H32=Listas!$A$3,E32,0),0)</f>
        <v>0</v>
      </c>
      <c r="J32" s="107"/>
      <c r="K32" s="541" t="s">
        <v>1117</v>
      </c>
      <c r="L32" s="533" t="s">
        <v>1118</v>
      </c>
    </row>
    <row r="33" spans="1:12" ht="45.75" thickBot="1" x14ac:dyDescent="0.3">
      <c r="A33" s="53" t="s">
        <v>166</v>
      </c>
      <c r="B33" s="81" t="s">
        <v>56</v>
      </c>
      <c r="C33" s="82" t="s">
        <v>840</v>
      </c>
      <c r="D33" s="84" t="s">
        <v>1029</v>
      </c>
      <c r="E33" s="83">
        <v>5</v>
      </c>
      <c r="F33" s="84" t="s">
        <v>54</v>
      </c>
      <c r="G33" s="97">
        <v>5</v>
      </c>
      <c r="H33" s="108" t="str">
        <f>IF(H$34="No",IF($I$4=3,"Si","No"),"No")</f>
        <v>No</v>
      </c>
      <c r="I33" s="87">
        <f>IF(SUM(I34:I$34)=0,IF(H33=Listas!$A$3,E33,0),0)</f>
        <v>0</v>
      </c>
      <c r="J33" s="109"/>
      <c r="K33" s="540" t="s">
        <v>1117</v>
      </c>
      <c r="L33" s="532" t="s">
        <v>1118</v>
      </c>
    </row>
    <row r="34" spans="1:12" ht="102" thickBot="1" x14ac:dyDescent="0.3">
      <c r="A34" s="53" t="s">
        <v>166</v>
      </c>
      <c r="B34" s="89" t="s">
        <v>960</v>
      </c>
      <c r="C34" s="90" t="s">
        <v>841</v>
      </c>
      <c r="D34" s="92" t="s">
        <v>929</v>
      </c>
      <c r="E34" s="91">
        <v>5</v>
      </c>
      <c r="F34" s="92" t="s">
        <v>54</v>
      </c>
      <c r="G34" s="98">
        <v>5</v>
      </c>
      <c r="H34" s="106" t="str">
        <f t="shared" ref="H34:H38" si="2">IF(J34&lt;&gt;"","Si","No")</f>
        <v>No</v>
      </c>
      <c r="I34" s="95">
        <f>IF(H34=Listas!$A$3,E34,0)</f>
        <v>0</v>
      </c>
      <c r="J34" s="619"/>
      <c r="K34" s="541" t="s">
        <v>1117</v>
      </c>
      <c r="L34" s="533" t="s">
        <v>1118</v>
      </c>
    </row>
    <row r="35" spans="1:12" ht="45.75" thickBot="1" x14ac:dyDescent="0.3">
      <c r="A35" s="65" t="s">
        <v>164</v>
      </c>
      <c r="B35" s="110" t="s">
        <v>57</v>
      </c>
      <c r="C35" s="111" t="s">
        <v>58</v>
      </c>
      <c r="D35" s="597" t="s">
        <v>930</v>
      </c>
      <c r="E35" s="68">
        <v>5</v>
      </c>
      <c r="F35" s="69" t="s">
        <v>18</v>
      </c>
      <c r="G35" s="70"/>
      <c r="H35" s="71"/>
      <c r="I35" s="72">
        <f>SUM(I36:I38)</f>
        <v>0</v>
      </c>
      <c r="J35" s="73" t="s">
        <v>961</v>
      </c>
      <c r="K35" s="539" t="s">
        <v>1116</v>
      </c>
      <c r="L35" s="530" t="s">
        <v>1116</v>
      </c>
    </row>
    <row r="36" spans="1:12" ht="45.75" thickBot="1" x14ac:dyDescent="0.3">
      <c r="A36" s="53" t="s">
        <v>166</v>
      </c>
      <c r="B36" s="100" t="s">
        <v>59</v>
      </c>
      <c r="C36" s="101" t="s">
        <v>1030</v>
      </c>
      <c r="D36" s="103" t="s">
        <v>1031</v>
      </c>
      <c r="E36" s="83">
        <v>5</v>
      </c>
      <c r="F36" s="84" t="s">
        <v>54</v>
      </c>
      <c r="G36" s="97">
        <v>5</v>
      </c>
      <c r="H36" s="108" t="str">
        <f>IF(I37+I38=0,IF(J36&lt;&gt;"","Si","No"),"No")</f>
        <v>No</v>
      </c>
      <c r="I36" s="95">
        <f>IF(I37+I38=0,IF(H36=Listas!$A$3,Baremo!G36,0),0)</f>
        <v>0</v>
      </c>
      <c r="J36" s="88"/>
      <c r="K36" s="540" t="s">
        <v>1112</v>
      </c>
      <c r="L36" s="532" t="s">
        <v>1112</v>
      </c>
    </row>
    <row r="37" spans="1:12" ht="57" thickBot="1" x14ac:dyDescent="0.3">
      <c r="A37" s="53" t="s">
        <v>166</v>
      </c>
      <c r="B37" s="89" t="s">
        <v>60</v>
      </c>
      <c r="C37" s="90" t="s">
        <v>842</v>
      </c>
      <c r="D37" s="92" t="s">
        <v>931</v>
      </c>
      <c r="E37" s="91">
        <v>3</v>
      </c>
      <c r="F37" s="92" t="s">
        <v>54</v>
      </c>
      <c r="G37" s="98">
        <v>3</v>
      </c>
      <c r="H37" s="106" t="str">
        <f>IF(I38=0,IF(J37&lt;&gt;"","Si","No"),"No")</f>
        <v>No</v>
      </c>
      <c r="I37" s="95">
        <f>IF(I38=0,IF(H37=Listas!$A$3,Baremo!G37,0),0)</f>
        <v>0</v>
      </c>
      <c r="J37" s="88"/>
      <c r="K37" s="541" t="s">
        <v>1112</v>
      </c>
      <c r="L37" s="533" t="s">
        <v>1112</v>
      </c>
    </row>
    <row r="38" spans="1:12" ht="57" thickBot="1" x14ac:dyDescent="0.3">
      <c r="A38" s="53" t="s">
        <v>166</v>
      </c>
      <c r="B38" s="81" t="s">
        <v>61</v>
      </c>
      <c r="C38" s="82" t="s">
        <v>843</v>
      </c>
      <c r="D38" s="84" t="s">
        <v>932</v>
      </c>
      <c r="E38" s="83">
        <v>1</v>
      </c>
      <c r="F38" s="84" t="s">
        <v>54</v>
      </c>
      <c r="G38" s="97">
        <v>1</v>
      </c>
      <c r="H38" s="108" t="str">
        <f t="shared" si="2"/>
        <v>No</v>
      </c>
      <c r="I38" s="95">
        <f>IF(H38=Listas!$A$3,Baremo!G38,0)</f>
        <v>0</v>
      </c>
      <c r="J38" s="88"/>
      <c r="K38" s="540" t="s">
        <v>1112</v>
      </c>
      <c r="L38" s="532" t="s">
        <v>1112</v>
      </c>
    </row>
    <row r="39" spans="1:12" ht="57" thickBot="1" x14ac:dyDescent="0.3">
      <c r="A39" s="65" t="s">
        <v>164</v>
      </c>
      <c r="B39" s="110" t="s">
        <v>62</v>
      </c>
      <c r="C39" s="111" t="s">
        <v>1032</v>
      </c>
      <c r="D39" s="597" t="s">
        <v>933</v>
      </c>
      <c r="E39" s="68">
        <v>10</v>
      </c>
      <c r="F39" s="69" t="s">
        <v>18</v>
      </c>
      <c r="G39" s="70"/>
      <c r="H39" s="71">
        <f>COUNTIF(H40:H45,Listas!A3)</f>
        <v>0</v>
      </c>
      <c r="I39" s="72">
        <f>IF(SUM(I40:I45)&gt;E39,E39,SUM(I40:I45))</f>
        <v>0</v>
      </c>
      <c r="J39" s="73" t="s">
        <v>961</v>
      </c>
      <c r="K39" s="539" t="s">
        <v>971</v>
      </c>
      <c r="L39" s="530" t="s">
        <v>972</v>
      </c>
    </row>
    <row r="40" spans="1:12" ht="75.75" thickBot="1" x14ac:dyDescent="0.3">
      <c r="A40" s="53" t="s">
        <v>166</v>
      </c>
      <c r="B40" s="100" t="s">
        <v>63</v>
      </c>
      <c r="C40" s="101" t="s">
        <v>1033</v>
      </c>
      <c r="D40" s="103" t="s">
        <v>934</v>
      </c>
      <c r="E40" s="83">
        <v>4</v>
      </c>
      <c r="F40" s="84" t="s">
        <v>1026</v>
      </c>
      <c r="G40" s="97">
        <v>4</v>
      </c>
      <c r="H40" s="108" t="str">
        <f t="shared" ref="H40:H41" si="3">IF(J40&lt;&gt;"","Si","No")</f>
        <v>No</v>
      </c>
      <c r="I40" s="87">
        <f>IF(H40=Listas!$A$3,Baremo!G40,0)</f>
        <v>0</v>
      </c>
      <c r="J40" s="88"/>
      <c r="K40" s="540"/>
      <c r="L40" s="532" t="s">
        <v>995</v>
      </c>
    </row>
    <row r="41" spans="1:12" ht="75.75" thickBot="1" x14ac:dyDescent="0.3">
      <c r="A41" s="53" t="s">
        <v>166</v>
      </c>
      <c r="B41" s="89" t="s">
        <v>64</v>
      </c>
      <c r="C41" s="90" t="s">
        <v>1034</v>
      </c>
      <c r="D41" s="92" t="s">
        <v>935</v>
      </c>
      <c r="E41" s="91">
        <v>2</v>
      </c>
      <c r="F41" s="92" t="s">
        <v>1026</v>
      </c>
      <c r="G41" s="98">
        <v>2</v>
      </c>
      <c r="H41" s="106" t="str">
        <f t="shared" si="3"/>
        <v>No</v>
      </c>
      <c r="I41" s="95">
        <f>IF(H41=Listas!$A$3,Baremo!G41,0)</f>
        <v>0</v>
      </c>
      <c r="J41" s="88"/>
      <c r="K41" s="541" t="s">
        <v>995</v>
      </c>
      <c r="L41" s="533"/>
    </row>
    <row r="42" spans="1:12" ht="45.75" thickBot="1" x14ac:dyDescent="0.3">
      <c r="A42" s="53" t="s">
        <v>166</v>
      </c>
      <c r="B42" s="100" t="s">
        <v>65</v>
      </c>
      <c r="C42" s="82" t="s">
        <v>855</v>
      </c>
      <c r="D42" s="84" t="s">
        <v>936</v>
      </c>
      <c r="E42" s="83">
        <v>4</v>
      </c>
      <c r="F42" s="84" t="s">
        <v>1026</v>
      </c>
      <c r="G42" s="97">
        <v>4</v>
      </c>
      <c r="H42" s="108" t="str">
        <f t="shared" ref="H42:H45" si="4">IF(J42&lt;&gt;"","Si","No")</f>
        <v>No</v>
      </c>
      <c r="I42" s="87">
        <f>IF(H42=Listas!$A$3,Baremo!G42,0)</f>
        <v>0</v>
      </c>
      <c r="J42" s="88"/>
      <c r="K42" s="540"/>
      <c r="L42" s="532" t="s">
        <v>1113</v>
      </c>
    </row>
    <row r="43" spans="1:12" ht="45.75" thickBot="1" x14ac:dyDescent="0.3">
      <c r="A43" s="53" t="s">
        <v>166</v>
      </c>
      <c r="B43" s="89" t="s">
        <v>66</v>
      </c>
      <c r="C43" s="90" t="s">
        <v>1035</v>
      </c>
      <c r="D43" s="92" t="s">
        <v>937</v>
      </c>
      <c r="E43" s="91">
        <v>2</v>
      </c>
      <c r="F43" s="92" t="s">
        <v>1026</v>
      </c>
      <c r="G43" s="98">
        <v>2</v>
      </c>
      <c r="H43" s="106" t="str">
        <f t="shared" si="4"/>
        <v>No</v>
      </c>
      <c r="I43" s="95">
        <f>IF(H43=Listas!$A$3,Baremo!G43,0)</f>
        <v>0</v>
      </c>
      <c r="J43" s="88"/>
      <c r="K43" s="541" t="s">
        <v>996</v>
      </c>
      <c r="L43" s="533"/>
    </row>
    <row r="44" spans="1:12" ht="34.5" thickBot="1" x14ac:dyDescent="0.3">
      <c r="A44" s="53" t="s">
        <v>166</v>
      </c>
      <c r="B44" s="100" t="s">
        <v>67</v>
      </c>
      <c r="C44" s="82" t="s">
        <v>856</v>
      </c>
      <c r="D44" s="84" t="s">
        <v>938</v>
      </c>
      <c r="E44" s="83">
        <v>2</v>
      </c>
      <c r="F44" s="84" t="s">
        <v>1026</v>
      </c>
      <c r="G44" s="97">
        <v>2</v>
      </c>
      <c r="H44" s="108" t="str">
        <f t="shared" si="4"/>
        <v>No</v>
      </c>
      <c r="I44" s="87">
        <f>IF(H44=Listas!$A$3,Baremo!G44,0)</f>
        <v>0</v>
      </c>
      <c r="J44" s="88"/>
      <c r="K44" s="540" t="s">
        <v>1114</v>
      </c>
      <c r="L44" s="532" t="s">
        <v>1114</v>
      </c>
    </row>
    <row r="45" spans="1:12" ht="90.75" thickBot="1" x14ac:dyDescent="0.3">
      <c r="A45" s="53" t="s">
        <v>166</v>
      </c>
      <c r="B45" s="89" t="s">
        <v>68</v>
      </c>
      <c r="C45" s="90" t="s">
        <v>1036</v>
      </c>
      <c r="D45" s="92" t="s">
        <v>939</v>
      </c>
      <c r="E45" s="91">
        <v>2</v>
      </c>
      <c r="F45" s="92" t="s">
        <v>1026</v>
      </c>
      <c r="G45" s="98">
        <v>2</v>
      </c>
      <c r="H45" s="106" t="str">
        <f t="shared" si="4"/>
        <v>No</v>
      </c>
      <c r="I45" s="95">
        <f>IF(H45=Listas!$A$3,Baremo!G45,0)</f>
        <v>0</v>
      </c>
      <c r="J45" s="88"/>
      <c r="K45" s="541" t="s">
        <v>1115</v>
      </c>
      <c r="L45" s="533" t="s">
        <v>1115</v>
      </c>
    </row>
    <row r="46" spans="1:12" ht="45.75" thickBot="1" x14ac:dyDescent="0.3">
      <c r="A46" s="65" t="s">
        <v>164</v>
      </c>
      <c r="B46" s="66" t="s">
        <v>69</v>
      </c>
      <c r="C46" s="67" t="s">
        <v>857</v>
      </c>
      <c r="D46" s="69" t="s">
        <v>940</v>
      </c>
      <c r="E46" s="68">
        <v>10</v>
      </c>
      <c r="F46" s="69" t="s">
        <v>18</v>
      </c>
      <c r="G46" s="70"/>
      <c r="H46" s="71">
        <f>COUNTIF(H47:H53,Listas!$A$3)</f>
        <v>0</v>
      </c>
      <c r="I46" s="72">
        <f>IF(SUM(I47:I53)&gt;E46,E46,SUM(I47:I53))</f>
        <v>0</v>
      </c>
      <c r="J46" s="73" t="s">
        <v>961</v>
      </c>
      <c r="K46" s="539" t="s">
        <v>1126</v>
      </c>
      <c r="L46" s="530" t="s">
        <v>1127</v>
      </c>
    </row>
    <row r="47" spans="1:12" ht="34.5" thickBot="1" x14ac:dyDescent="0.3">
      <c r="A47" s="53" t="s">
        <v>166</v>
      </c>
      <c r="B47" s="81" t="s">
        <v>70</v>
      </c>
      <c r="C47" s="82" t="s">
        <v>1037</v>
      </c>
      <c r="D47" s="84" t="s">
        <v>1038</v>
      </c>
      <c r="E47" s="83">
        <v>3</v>
      </c>
      <c r="F47" s="84" t="s">
        <v>1026</v>
      </c>
      <c r="G47" s="97">
        <f>E47</f>
        <v>3</v>
      </c>
      <c r="H47" s="108" t="str">
        <f t="shared" ref="H47:H48" si="5">IF(J47&lt;&gt;"","Si","No")</f>
        <v>No</v>
      </c>
      <c r="I47" s="87">
        <f>IF(H47=Listas!$A$3,Baremo!G47,0)</f>
        <v>0</v>
      </c>
      <c r="J47" s="88"/>
      <c r="K47" s="540" t="s">
        <v>998</v>
      </c>
      <c r="L47" s="532" t="s">
        <v>998</v>
      </c>
    </row>
    <row r="48" spans="1:12" ht="34.5" thickBot="1" x14ac:dyDescent="0.3">
      <c r="A48" s="53" t="s">
        <v>166</v>
      </c>
      <c r="B48" s="89" t="s">
        <v>71</v>
      </c>
      <c r="C48" s="90" t="s">
        <v>1039</v>
      </c>
      <c r="D48" s="92" t="s">
        <v>1040</v>
      </c>
      <c r="E48" s="91">
        <v>1</v>
      </c>
      <c r="F48" s="92" t="s">
        <v>1026</v>
      </c>
      <c r="G48" s="98">
        <f t="shared" ref="G48:G61" si="6">E48</f>
        <v>1</v>
      </c>
      <c r="H48" s="106" t="str">
        <f t="shared" si="5"/>
        <v>No</v>
      </c>
      <c r="I48" s="95">
        <f>IF(H48=Listas!$A$3,Baremo!G48,0)</f>
        <v>0</v>
      </c>
      <c r="J48" s="88"/>
      <c r="K48" s="541" t="s">
        <v>998</v>
      </c>
      <c r="L48" s="533" t="s">
        <v>998</v>
      </c>
    </row>
    <row r="49" spans="1:12" ht="68.25" thickBot="1" x14ac:dyDescent="0.3">
      <c r="A49" s="53" t="s">
        <v>166</v>
      </c>
      <c r="B49" s="81" t="s">
        <v>72</v>
      </c>
      <c r="C49" s="82" t="s">
        <v>1041</v>
      </c>
      <c r="D49" s="84" t="s">
        <v>1042</v>
      </c>
      <c r="E49" s="83">
        <v>3</v>
      </c>
      <c r="F49" s="84" t="s">
        <v>1043</v>
      </c>
      <c r="G49" s="97">
        <f t="shared" si="6"/>
        <v>3</v>
      </c>
      <c r="H49" s="108" t="str">
        <f t="shared" ref="H49:H52" si="7">IF(J49&lt;&gt;"","Si","No")</f>
        <v>No</v>
      </c>
      <c r="I49" s="87">
        <f>IF(H49=Listas!$A$3,Baremo!G49,0)</f>
        <v>0</v>
      </c>
      <c r="J49" s="88"/>
      <c r="K49" s="540" t="s">
        <v>998</v>
      </c>
      <c r="L49" s="532" t="s">
        <v>998</v>
      </c>
    </row>
    <row r="50" spans="1:12" ht="68.25" thickBot="1" x14ac:dyDescent="0.3">
      <c r="A50" s="53" t="s">
        <v>166</v>
      </c>
      <c r="B50" s="89" t="s">
        <v>73</v>
      </c>
      <c r="C50" s="90" t="s">
        <v>1044</v>
      </c>
      <c r="D50" s="92" t="s">
        <v>1045</v>
      </c>
      <c r="E50" s="91">
        <v>1</v>
      </c>
      <c r="F50" s="92" t="s">
        <v>1043</v>
      </c>
      <c r="G50" s="98">
        <f t="shared" si="6"/>
        <v>1</v>
      </c>
      <c r="H50" s="106" t="str">
        <f t="shared" si="7"/>
        <v>No</v>
      </c>
      <c r="I50" s="95">
        <f>IF(H50=Listas!$A$3,Baremo!G50,0)</f>
        <v>0</v>
      </c>
      <c r="J50" s="88"/>
      <c r="K50" s="541" t="s">
        <v>998</v>
      </c>
      <c r="L50" s="533" t="s">
        <v>998</v>
      </c>
    </row>
    <row r="51" spans="1:12" ht="147" thickBot="1" x14ac:dyDescent="0.3">
      <c r="A51" s="53" t="s">
        <v>166</v>
      </c>
      <c r="B51" s="81" t="s">
        <v>74</v>
      </c>
      <c r="C51" s="82" t="s">
        <v>858</v>
      </c>
      <c r="D51" s="84" t="s">
        <v>1046</v>
      </c>
      <c r="E51" s="83">
        <v>2</v>
      </c>
      <c r="F51" s="84" t="s">
        <v>1026</v>
      </c>
      <c r="G51" s="97">
        <f t="shared" si="6"/>
        <v>2</v>
      </c>
      <c r="H51" s="108" t="str">
        <f t="shared" si="7"/>
        <v>No</v>
      </c>
      <c r="I51" s="87">
        <f>IF(H51=Listas!$A$3,Baremo!G51,0)</f>
        <v>0</v>
      </c>
      <c r="J51" s="88"/>
      <c r="K51" s="540" t="s">
        <v>997</v>
      </c>
      <c r="L51" s="532" t="s">
        <v>1129</v>
      </c>
    </row>
    <row r="52" spans="1:12" ht="79.5" thickBot="1" x14ac:dyDescent="0.3">
      <c r="A52" s="53" t="s">
        <v>166</v>
      </c>
      <c r="B52" s="89" t="s">
        <v>75</v>
      </c>
      <c r="C52" s="90" t="s">
        <v>1047</v>
      </c>
      <c r="D52" s="92" t="s">
        <v>1048</v>
      </c>
      <c r="E52" s="91">
        <v>2</v>
      </c>
      <c r="F52" s="92" t="s">
        <v>1026</v>
      </c>
      <c r="G52" s="98">
        <f t="shared" si="6"/>
        <v>2</v>
      </c>
      <c r="H52" s="106" t="str">
        <f t="shared" si="7"/>
        <v>No</v>
      </c>
      <c r="I52" s="95">
        <f>IF(H52=Listas!$A$3,Baremo!G52,0)</f>
        <v>0</v>
      </c>
      <c r="J52" s="88"/>
      <c r="K52" s="541" t="s">
        <v>1128</v>
      </c>
      <c r="L52" s="533" t="s">
        <v>1119</v>
      </c>
    </row>
    <row r="53" spans="1:12" ht="45.75" thickBot="1" x14ac:dyDescent="0.3">
      <c r="A53" s="53" t="s">
        <v>166</v>
      </c>
      <c r="B53" s="81" t="s">
        <v>76</v>
      </c>
      <c r="C53" s="82" t="s">
        <v>1049</v>
      </c>
      <c r="D53" s="84" t="s">
        <v>1050</v>
      </c>
      <c r="E53" s="83">
        <v>1</v>
      </c>
      <c r="F53" s="84" t="s">
        <v>1026</v>
      </c>
      <c r="G53" s="97">
        <f t="shared" si="6"/>
        <v>1</v>
      </c>
      <c r="H53" s="108" t="str">
        <f t="shared" ref="H53" si="8">IF(J53&lt;&gt;"","Si","No")</f>
        <v>No</v>
      </c>
      <c r="I53" s="87">
        <f>IF(H53=Listas!$A$3,Baremo!G53,0)</f>
        <v>0</v>
      </c>
      <c r="J53" s="88"/>
      <c r="K53" s="540" t="s">
        <v>1123</v>
      </c>
      <c r="L53" s="532" t="s">
        <v>1124</v>
      </c>
    </row>
    <row r="54" spans="1:12" ht="45.75" thickBot="1" x14ac:dyDescent="0.3">
      <c r="A54" s="53" t="s">
        <v>164</v>
      </c>
      <c r="B54" s="112" t="s">
        <v>77</v>
      </c>
      <c r="C54" s="113" t="s">
        <v>859</v>
      </c>
      <c r="D54" s="115" t="s">
        <v>941</v>
      </c>
      <c r="E54" s="114">
        <v>10</v>
      </c>
      <c r="F54" s="69" t="s">
        <v>18</v>
      </c>
      <c r="G54" s="116"/>
      <c r="H54" s="71">
        <f>COUNTIF(H55:H61,Listas!$A$3)</f>
        <v>0</v>
      </c>
      <c r="I54" s="117">
        <f>IF(SUM(I55:I61)&gt;E54,E54,SUM(I55:I61))</f>
        <v>0</v>
      </c>
      <c r="J54" s="118" t="s">
        <v>961</v>
      </c>
      <c r="K54" s="539" t="s">
        <v>1126</v>
      </c>
      <c r="L54" s="530" t="s">
        <v>1127</v>
      </c>
    </row>
    <row r="55" spans="1:12" ht="34.5" thickBot="1" x14ac:dyDescent="0.3">
      <c r="A55" s="53" t="s">
        <v>166</v>
      </c>
      <c r="B55" s="81" t="s">
        <v>79</v>
      </c>
      <c r="C55" s="82" t="s">
        <v>1051</v>
      </c>
      <c r="D55" s="84" t="s">
        <v>1052</v>
      </c>
      <c r="E55" s="83">
        <v>3</v>
      </c>
      <c r="F55" s="84" t="s">
        <v>1026</v>
      </c>
      <c r="G55" s="97">
        <f t="shared" si="6"/>
        <v>3</v>
      </c>
      <c r="H55" s="108" t="str">
        <f t="shared" ref="H55:H61" si="9">IF(J55&lt;&gt;"","Si","No")</f>
        <v>No</v>
      </c>
      <c r="I55" s="87">
        <f>IF(H55=Listas!$A$3,Baremo!G55,0)</f>
        <v>0</v>
      </c>
      <c r="J55" s="88"/>
      <c r="K55" s="540" t="s">
        <v>998</v>
      </c>
      <c r="L55" s="532" t="s">
        <v>998</v>
      </c>
    </row>
    <row r="56" spans="1:12" ht="34.5" thickBot="1" x14ac:dyDescent="0.3">
      <c r="A56" s="53" t="s">
        <v>166</v>
      </c>
      <c r="B56" s="89" t="s">
        <v>80</v>
      </c>
      <c r="C56" s="90" t="s">
        <v>1053</v>
      </c>
      <c r="D56" s="92" t="s">
        <v>1054</v>
      </c>
      <c r="E56" s="91">
        <v>1</v>
      </c>
      <c r="F56" s="92" t="s">
        <v>1026</v>
      </c>
      <c r="G56" s="98">
        <f t="shared" si="6"/>
        <v>1</v>
      </c>
      <c r="H56" s="106" t="str">
        <f t="shared" si="9"/>
        <v>No</v>
      </c>
      <c r="I56" s="95">
        <f>IF(H56=Listas!$A$3,Baremo!G56,0)</f>
        <v>0</v>
      </c>
      <c r="J56" s="88"/>
      <c r="K56" s="541" t="s">
        <v>998</v>
      </c>
      <c r="L56" s="533" t="s">
        <v>998</v>
      </c>
    </row>
    <row r="57" spans="1:12" ht="68.25" thickBot="1" x14ac:dyDescent="0.3">
      <c r="A57" s="53" t="s">
        <v>166</v>
      </c>
      <c r="B57" s="81" t="s">
        <v>81</v>
      </c>
      <c r="C57" s="82" t="s">
        <v>1055</v>
      </c>
      <c r="D57" s="84" t="s">
        <v>1056</v>
      </c>
      <c r="E57" s="83">
        <v>3</v>
      </c>
      <c r="F57" s="84" t="s">
        <v>1043</v>
      </c>
      <c r="G57" s="97">
        <f t="shared" si="6"/>
        <v>3</v>
      </c>
      <c r="H57" s="108" t="str">
        <f t="shared" si="9"/>
        <v>No</v>
      </c>
      <c r="I57" s="87">
        <f>IF(H57=Listas!$A$3,Baremo!G57,0)</f>
        <v>0</v>
      </c>
      <c r="J57" s="88"/>
      <c r="K57" s="540" t="s">
        <v>998</v>
      </c>
      <c r="L57" s="532" t="s">
        <v>998</v>
      </c>
    </row>
    <row r="58" spans="1:12" ht="68.25" thickBot="1" x14ac:dyDescent="0.3">
      <c r="A58" s="53" t="s">
        <v>166</v>
      </c>
      <c r="B58" s="89" t="s">
        <v>82</v>
      </c>
      <c r="C58" s="90" t="s">
        <v>1057</v>
      </c>
      <c r="D58" s="92" t="s">
        <v>1058</v>
      </c>
      <c r="E58" s="91">
        <v>1</v>
      </c>
      <c r="F58" s="92" t="s">
        <v>1026</v>
      </c>
      <c r="G58" s="98">
        <f t="shared" si="6"/>
        <v>1</v>
      </c>
      <c r="H58" s="106" t="str">
        <f t="shared" si="9"/>
        <v>No</v>
      </c>
      <c r="I58" s="95">
        <f>IF(H58=Listas!$A$3,Baremo!G58,0)</f>
        <v>0</v>
      </c>
      <c r="J58" s="88"/>
      <c r="K58" s="541" t="s">
        <v>998</v>
      </c>
      <c r="L58" s="533" t="s">
        <v>998</v>
      </c>
    </row>
    <row r="59" spans="1:12" ht="147" thickBot="1" x14ac:dyDescent="0.3">
      <c r="A59" s="53" t="s">
        <v>166</v>
      </c>
      <c r="B59" s="81" t="s">
        <v>83</v>
      </c>
      <c r="C59" s="82" t="s">
        <v>1059</v>
      </c>
      <c r="D59" s="84" t="s">
        <v>1060</v>
      </c>
      <c r="E59" s="83">
        <v>2</v>
      </c>
      <c r="F59" s="84" t="s">
        <v>1026</v>
      </c>
      <c r="G59" s="97">
        <f t="shared" si="6"/>
        <v>2</v>
      </c>
      <c r="H59" s="108" t="str">
        <f t="shared" si="9"/>
        <v>No</v>
      </c>
      <c r="I59" s="87">
        <f>IF(H59=Listas!$A$3,Baremo!G59,0)</f>
        <v>0</v>
      </c>
      <c r="J59" s="88"/>
      <c r="K59" s="540" t="s">
        <v>997</v>
      </c>
      <c r="L59" s="532" t="s">
        <v>1130</v>
      </c>
    </row>
    <row r="60" spans="1:12" ht="57" thickBot="1" x14ac:dyDescent="0.3">
      <c r="A60" s="53" t="s">
        <v>166</v>
      </c>
      <c r="B60" s="89" t="s">
        <v>84</v>
      </c>
      <c r="C60" s="90" t="s">
        <v>1061</v>
      </c>
      <c r="D60" s="92" t="s">
        <v>1062</v>
      </c>
      <c r="E60" s="91">
        <v>2</v>
      </c>
      <c r="F60" s="92" t="s">
        <v>1026</v>
      </c>
      <c r="G60" s="98">
        <f t="shared" si="6"/>
        <v>2</v>
      </c>
      <c r="H60" s="106" t="str">
        <f t="shared" si="9"/>
        <v>No</v>
      </c>
      <c r="I60" s="95">
        <f>IF(H60=Listas!$A$3,Baremo!G60,0)</f>
        <v>0</v>
      </c>
      <c r="J60" s="88"/>
      <c r="K60" s="541"/>
      <c r="L60" s="533" t="s">
        <v>1125</v>
      </c>
    </row>
    <row r="61" spans="1:12" ht="45.75" thickBot="1" x14ac:dyDescent="0.3">
      <c r="A61" s="53" t="s">
        <v>166</v>
      </c>
      <c r="B61" s="81" t="s">
        <v>85</v>
      </c>
      <c r="C61" s="82" t="s">
        <v>1063</v>
      </c>
      <c r="D61" s="84" t="s">
        <v>1064</v>
      </c>
      <c r="E61" s="83">
        <v>1</v>
      </c>
      <c r="F61" s="84" t="s">
        <v>1026</v>
      </c>
      <c r="G61" s="97">
        <f t="shared" si="6"/>
        <v>1</v>
      </c>
      <c r="H61" s="108" t="str">
        <f t="shared" si="9"/>
        <v>No</v>
      </c>
      <c r="I61" s="87">
        <f>IF(H61=Listas!$A$3,Baremo!G61,0)</f>
        <v>0</v>
      </c>
      <c r="J61" s="88"/>
      <c r="K61" s="540"/>
      <c r="L61" s="532" t="s">
        <v>1115</v>
      </c>
    </row>
    <row r="62" spans="1:12" ht="34.5" thickBot="1" x14ac:dyDescent="0.3">
      <c r="A62" s="65" t="s">
        <v>164</v>
      </c>
      <c r="B62" s="110" t="s">
        <v>86</v>
      </c>
      <c r="C62" s="111" t="s">
        <v>78</v>
      </c>
      <c r="D62" s="597" t="s">
        <v>942</v>
      </c>
      <c r="E62" s="68">
        <v>5</v>
      </c>
      <c r="F62" s="69" t="s">
        <v>18</v>
      </c>
      <c r="G62" s="70"/>
      <c r="H62" s="71"/>
      <c r="I62" s="72">
        <f>IF(SUM(I63:I67)&gt;E62,E62,SUM(I63:I67))</f>
        <v>0</v>
      </c>
      <c r="J62" s="73" t="s">
        <v>961</v>
      </c>
      <c r="K62" s="539" t="s">
        <v>1132</v>
      </c>
      <c r="L62" s="530" t="s">
        <v>1127</v>
      </c>
    </row>
    <row r="63" spans="1:12" ht="34.5" thickBot="1" x14ac:dyDescent="0.3">
      <c r="A63" s="53" t="s">
        <v>166</v>
      </c>
      <c r="B63" s="100" t="s">
        <v>88</v>
      </c>
      <c r="C63" s="101" t="s">
        <v>860</v>
      </c>
      <c r="D63" s="103" t="s">
        <v>943</v>
      </c>
      <c r="E63" s="83">
        <v>5</v>
      </c>
      <c r="F63" s="84" t="s">
        <v>54</v>
      </c>
      <c r="G63" s="97">
        <f t="shared" ref="G63:G67" si="10">E63</f>
        <v>5</v>
      </c>
      <c r="H63" s="108" t="str">
        <f>IF(SUM(I64:I$67)=0,IF(J63&lt;&gt;"","Si","No"),"No")</f>
        <v>No</v>
      </c>
      <c r="I63" s="87">
        <f>IF(SUM(I64:I$67)=0,IF(H63=Listas!$A$3,Baremo!G63,0),0)</f>
        <v>0</v>
      </c>
      <c r="J63" s="88"/>
      <c r="K63" s="540"/>
      <c r="L63" s="532"/>
    </row>
    <row r="64" spans="1:12" ht="34.5" thickBot="1" x14ac:dyDescent="0.3">
      <c r="A64" s="53" t="s">
        <v>166</v>
      </c>
      <c r="B64" s="89" t="s">
        <v>89</v>
      </c>
      <c r="C64" s="90" t="s">
        <v>861</v>
      </c>
      <c r="D64" s="92" t="s">
        <v>944</v>
      </c>
      <c r="E64" s="91">
        <v>3</v>
      </c>
      <c r="F64" s="92" t="s">
        <v>54</v>
      </c>
      <c r="G64" s="98">
        <f t="shared" si="10"/>
        <v>3</v>
      </c>
      <c r="H64" s="106" t="str">
        <f>IF(SUM(I65:I$67)=0,IF(J64&lt;&gt;"","Si","No"),"No")</f>
        <v>No</v>
      </c>
      <c r="I64" s="95">
        <f>IF(SUM(I65:I$67)=0,IF(H64=Listas!$A$3,Baremo!G64,0),0)</f>
        <v>0</v>
      </c>
      <c r="J64" s="88"/>
      <c r="K64" s="540"/>
      <c r="L64" s="532"/>
    </row>
    <row r="65" spans="1:12" ht="34.5" thickBot="1" x14ac:dyDescent="0.3">
      <c r="A65" s="53" t="s">
        <v>166</v>
      </c>
      <c r="B65" s="81" t="s">
        <v>90</v>
      </c>
      <c r="C65" s="82" t="s">
        <v>862</v>
      </c>
      <c r="D65" s="84" t="s">
        <v>945</v>
      </c>
      <c r="E65" s="83">
        <v>2</v>
      </c>
      <c r="F65" s="84" t="s">
        <v>54</v>
      </c>
      <c r="G65" s="97">
        <f t="shared" si="10"/>
        <v>2</v>
      </c>
      <c r="H65" s="108" t="str">
        <f>IF(SUM(I66:I$67)=0,IF(J65&lt;&gt;"","Si","No"),"No")</f>
        <v>No</v>
      </c>
      <c r="I65" s="87">
        <f>IF(SUM(I66:I$67)=0,IF(H65=Listas!$A$3,Baremo!G65,0),0)</f>
        <v>0</v>
      </c>
      <c r="J65" s="88"/>
      <c r="K65" s="540"/>
      <c r="L65" s="532"/>
    </row>
    <row r="66" spans="1:12" ht="34.5" thickBot="1" x14ac:dyDescent="0.3">
      <c r="A66" s="53" t="s">
        <v>166</v>
      </c>
      <c r="B66" s="89" t="s">
        <v>864</v>
      </c>
      <c r="C66" s="90" t="s">
        <v>863</v>
      </c>
      <c r="D66" s="92" t="s">
        <v>946</v>
      </c>
      <c r="E66" s="91">
        <v>2</v>
      </c>
      <c r="F66" s="92" t="s">
        <v>54</v>
      </c>
      <c r="G66" s="98">
        <f t="shared" si="10"/>
        <v>2</v>
      </c>
      <c r="H66" s="106" t="str">
        <f>IF(SUM(I67:I$67)=0,IF(J66&lt;&gt;"","Si","No"),"No")</f>
        <v>No</v>
      </c>
      <c r="I66" s="95">
        <f>IF(SUM(I67:I$67)=0,IF(H66=Listas!$A$3,Baremo!G66,0),0)</f>
        <v>0</v>
      </c>
      <c r="J66" s="88"/>
      <c r="K66" s="540"/>
      <c r="L66" s="532"/>
    </row>
    <row r="67" spans="1:12" ht="57" thickBot="1" x14ac:dyDescent="0.3">
      <c r="A67" s="53" t="s">
        <v>166</v>
      </c>
      <c r="B67" s="81" t="s">
        <v>865</v>
      </c>
      <c r="C67" s="82" t="s">
        <v>1065</v>
      </c>
      <c r="D67" s="84" t="s">
        <v>947</v>
      </c>
      <c r="E67" s="83">
        <v>1</v>
      </c>
      <c r="F67" s="84" t="s">
        <v>54</v>
      </c>
      <c r="G67" s="97">
        <f t="shared" si="10"/>
        <v>1</v>
      </c>
      <c r="H67" s="108" t="str">
        <f t="shared" ref="H67" si="11">IF(J67&lt;&gt;"","Si","No")</f>
        <v>No</v>
      </c>
      <c r="I67" s="87">
        <f>IF(H67=Listas!$A$3,Baremo!G67,0)</f>
        <v>0</v>
      </c>
      <c r="J67" s="88"/>
      <c r="K67" s="540"/>
      <c r="L67" s="532" t="s">
        <v>1131</v>
      </c>
    </row>
    <row r="68" spans="1:12" ht="34.5" thickBot="1" x14ac:dyDescent="0.3">
      <c r="A68" s="65" t="s">
        <v>164</v>
      </c>
      <c r="B68" s="66" t="s">
        <v>91</v>
      </c>
      <c r="C68" s="67" t="s">
        <v>87</v>
      </c>
      <c r="D68" s="69" t="s">
        <v>948</v>
      </c>
      <c r="E68" s="68">
        <v>4</v>
      </c>
      <c r="F68" s="69" t="s">
        <v>18</v>
      </c>
      <c r="G68" s="70"/>
      <c r="H68" s="71"/>
      <c r="I68" s="72">
        <f>SUM(I69:I71)</f>
        <v>0</v>
      </c>
      <c r="J68" s="73" t="s">
        <v>961</v>
      </c>
      <c r="K68" s="539" t="s">
        <v>1133</v>
      </c>
      <c r="L68" s="530"/>
    </row>
    <row r="69" spans="1:12" ht="45.75" thickBot="1" x14ac:dyDescent="0.3">
      <c r="A69" s="53" t="s">
        <v>166</v>
      </c>
      <c r="B69" s="81" t="s">
        <v>93</v>
      </c>
      <c r="C69" s="82" t="s">
        <v>1066</v>
      </c>
      <c r="D69" s="84" t="s">
        <v>1067</v>
      </c>
      <c r="E69" s="83">
        <v>4</v>
      </c>
      <c r="F69" s="84" t="s">
        <v>54</v>
      </c>
      <c r="G69" s="97">
        <f t="shared" ref="G69:G71" si="12">E69</f>
        <v>4</v>
      </c>
      <c r="H69" s="108" t="str">
        <f>IF(SUM(I$70:I71)=0,IF(J69&lt;&gt;"","Si","No"),"No")</f>
        <v>No</v>
      </c>
      <c r="I69" s="87">
        <f>IF(I70+I71=0,IF(H69=Listas!$A$3,Baremo!G69,0),0)</f>
        <v>0</v>
      </c>
      <c r="J69" s="88"/>
      <c r="K69" s="540"/>
      <c r="L69" s="532"/>
    </row>
    <row r="70" spans="1:12" ht="45.75" thickBot="1" x14ac:dyDescent="0.3">
      <c r="A70" s="53" t="s">
        <v>166</v>
      </c>
      <c r="B70" s="89" t="s">
        <v>94</v>
      </c>
      <c r="C70" s="90" t="s">
        <v>1068</v>
      </c>
      <c r="D70" s="92" t="s">
        <v>1069</v>
      </c>
      <c r="E70" s="91">
        <v>2</v>
      </c>
      <c r="F70" s="92" t="s">
        <v>54</v>
      </c>
      <c r="G70" s="98">
        <f t="shared" si="12"/>
        <v>2</v>
      </c>
      <c r="H70" s="106" t="str">
        <f>IF(SUM(I$71:I71)=0,IF(J70&lt;&gt;"","Si","No"),"No")</f>
        <v>No</v>
      </c>
      <c r="I70" s="95">
        <f>IF(I71=0,IF(H70=Listas!$A$3,Baremo!G70,0),0)</f>
        <v>0</v>
      </c>
      <c r="J70" s="88"/>
      <c r="K70" s="541"/>
      <c r="L70" s="533"/>
    </row>
    <row r="71" spans="1:12" ht="45.75" thickBot="1" x14ac:dyDescent="0.3">
      <c r="A71" s="53" t="s">
        <v>166</v>
      </c>
      <c r="B71" s="81" t="s">
        <v>95</v>
      </c>
      <c r="C71" s="82" t="s">
        <v>866</v>
      </c>
      <c r="D71" s="84" t="s">
        <v>1070</v>
      </c>
      <c r="E71" s="83">
        <v>1</v>
      </c>
      <c r="F71" s="84" t="s">
        <v>54</v>
      </c>
      <c r="G71" s="97">
        <f t="shared" si="12"/>
        <v>1</v>
      </c>
      <c r="H71" s="108" t="str">
        <f t="shared" ref="H71" si="13">IF(J71&lt;&gt;"","Si","No")</f>
        <v>No</v>
      </c>
      <c r="I71" s="87">
        <f>IF(H71=Listas!$A$3,Baremo!G71,0)</f>
        <v>0</v>
      </c>
      <c r="J71" s="88"/>
      <c r="K71" s="540"/>
      <c r="L71" s="532"/>
    </row>
    <row r="72" spans="1:12" ht="68.25" thickBot="1" x14ac:dyDescent="0.3">
      <c r="A72" s="65" t="s">
        <v>164</v>
      </c>
      <c r="B72" s="66" t="s">
        <v>96</v>
      </c>
      <c r="C72" s="67" t="s">
        <v>92</v>
      </c>
      <c r="D72" s="69" t="s">
        <v>949</v>
      </c>
      <c r="E72" s="68">
        <v>4</v>
      </c>
      <c r="F72" s="69" t="s">
        <v>18</v>
      </c>
      <c r="G72" s="119">
        <f>H16</f>
        <v>0</v>
      </c>
      <c r="H72" s="71">
        <f>IFERROR($C$11/$H$16,0)</f>
        <v>0</v>
      </c>
      <c r="I72" s="72">
        <f>IF(SUM(I73:I75)&gt;E72,E72,SUM(I73:I75))</f>
        <v>0</v>
      </c>
      <c r="J72" s="73" t="s">
        <v>1152</v>
      </c>
      <c r="K72" s="539" t="s">
        <v>999</v>
      </c>
      <c r="L72" s="530" t="s">
        <v>974</v>
      </c>
    </row>
    <row r="73" spans="1:12" ht="30.75" thickBot="1" x14ac:dyDescent="0.3">
      <c r="A73" s="53" t="s">
        <v>166</v>
      </c>
      <c r="B73" s="81" t="s">
        <v>98</v>
      </c>
      <c r="C73" s="82" t="s">
        <v>867</v>
      </c>
      <c r="D73" s="84" t="s">
        <v>1071</v>
      </c>
      <c r="E73" s="83">
        <v>4</v>
      </c>
      <c r="F73" s="84" t="s">
        <v>54</v>
      </c>
      <c r="G73" s="97">
        <v>30000</v>
      </c>
      <c r="H73" s="108" t="str">
        <f>IF(I73=4,"Si","No")</f>
        <v>No</v>
      </c>
      <c r="I73" s="87">
        <f>IF($H$72=0,0,IF($H$72&lt;=G73,E73,0))</f>
        <v>0</v>
      </c>
      <c r="J73" s="120"/>
      <c r="K73" s="540"/>
      <c r="L73" s="532"/>
    </row>
    <row r="74" spans="1:12" ht="30.75" thickBot="1" x14ac:dyDescent="0.3">
      <c r="A74" s="53" t="s">
        <v>166</v>
      </c>
      <c r="B74" s="89" t="s">
        <v>99</v>
      </c>
      <c r="C74" s="90" t="s">
        <v>1072</v>
      </c>
      <c r="D74" s="92" t="s">
        <v>1073</v>
      </c>
      <c r="E74" s="91">
        <v>2</v>
      </c>
      <c r="F74" s="92" t="s">
        <v>54</v>
      </c>
      <c r="G74" s="98">
        <v>60000</v>
      </c>
      <c r="H74" s="106" t="str">
        <f>IF(I74=2,"Si","No")</f>
        <v>No</v>
      </c>
      <c r="I74" s="95">
        <f>IF(SUM(I$73:I73)=0,IF($H$72=0,0,IF($H$72&lt;=G74,E74,0)),0)</f>
        <v>0</v>
      </c>
      <c r="J74" s="121"/>
      <c r="K74" s="541"/>
      <c r="L74" s="533"/>
    </row>
    <row r="75" spans="1:12" ht="30.75" thickBot="1" x14ac:dyDescent="0.3">
      <c r="A75" s="53" t="s">
        <v>166</v>
      </c>
      <c r="B75" s="81" t="s">
        <v>100</v>
      </c>
      <c r="C75" s="82" t="s">
        <v>1074</v>
      </c>
      <c r="D75" s="84" t="s">
        <v>1075</v>
      </c>
      <c r="E75" s="83">
        <v>1</v>
      </c>
      <c r="F75" s="84" t="s">
        <v>54</v>
      </c>
      <c r="G75" s="97">
        <v>60000</v>
      </c>
      <c r="H75" s="108" t="str">
        <f>IF(I75=1,"Si","No")</f>
        <v>No</v>
      </c>
      <c r="I75" s="87">
        <f>IF(SUM(I$73:I74)=0,IF($H$72=0,0,IF($H$72&gt;G75,E75,0)),0)</f>
        <v>0</v>
      </c>
      <c r="J75" s="122"/>
      <c r="K75" s="540"/>
      <c r="L75" s="532"/>
    </row>
    <row r="76" spans="1:12" ht="45.75" thickBot="1" x14ac:dyDescent="0.3">
      <c r="A76" s="65" t="s">
        <v>164</v>
      </c>
      <c r="B76" s="66" t="s">
        <v>101</v>
      </c>
      <c r="C76" s="67" t="s">
        <v>97</v>
      </c>
      <c r="D76" s="69" t="s">
        <v>950</v>
      </c>
      <c r="E76" s="68">
        <v>4</v>
      </c>
      <c r="F76" s="69" t="s">
        <v>18</v>
      </c>
      <c r="G76" s="70"/>
      <c r="H76" s="71"/>
      <c r="I76" s="72">
        <f>IF(SUM(I77:I80)&gt;E76,E76,SUM(I77:I80))</f>
        <v>0</v>
      </c>
      <c r="J76" s="73" t="s">
        <v>961</v>
      </c>
      <c r="K76" s="539" t="s">
        <v>975</v>
      </c>
      <c r="L76" s="530" t="s">
        <v>975</v>
      </c>
    </row>
    <row r="77" spans="1:12" ht="57" thickBot="1" x14ac:dyDescent="0.3">
      <c r="A77" s="53" t="s">
        <v>166</v>
      </c>
      <c r="B77" s="81" t="s">
        <v>103</v>
      </c>
      <c r="C77" s="82" t="s">
        <v>1076</v>
      </c>
      <c r="D77" s="84" t="s">
        <v>951</v>
      </c>
      <c r="E77" s="83">
        <v>2</v>
      </c>
      <c r="F77" s="84" t="s">
        <v>1026</v>
      </c>
      <c r="G77" s="97">
        <v>2</v>
      </c>
      <c r="H77" s="108" t="str">
        <f t="shared" ref="H77:H80" si="14">IF(J77&lt;&gt;"","Si","No")</f>
        <v>No</v>
      </c>
      <c r="I77" s="87">
        <f>IF(H77=Listas!$A$3,Baremo!G77,0)</f>
        <v>0</v>
      </c>
      <c r="J77" s="88"/>
      <c r="K77" s="540" t="s">
        <v>1000</v>
      </c>
      <c r="L77" s="532" t="s">
        <v>1134</v>
      </c>
    </row>
    <row r="78" spans="1:12" ht="45.75" thickBot="1" x14ac:dyDescent="0.3">
      <c r="A78" s="53" t="s">
        <v>166</v>
      </c>
      <c r="B78" s="89" t="s">
        <v>104</v>
      </c>
      <c r="C78" s="90" t="s">
        <v>1077</v>
      </c>
      <c r="D78" s="92" t="s">
        <v>1078</v>
      </c>
      <c r="E78" s="91">
        <v>1</v>
      </c>
      <c r="F78" s="92" t="s">
        <v>1026</v>
      </c>
      <c r="G78" s="98">
        <v>1</v>
      </c>
      <c r="H78" s="106" t="str">
        <f t="shared" si="14"/>
        <v>No</v>
      </c>
      <c r="I78" s="95">
        <f>IF(H78=Listas!$A$3,Baremo!G78,0)</f>
        <v>0</v>
      </c>
      <c r="J78" s="88"/>
      <c r="K78" s="541" t="s">
        <v>1001</v>
      </c>
      <c r="L78" s="533" t="s">
        <v>1135</v>
      </c>
    </row>
    <row r="79" spans="1:12" ht="102" thickBot="1" x14ac:dyDescent="0.3">
      <c r="A79" s="53" t="s">
        <v>166</v>
      </c>
      <c r="B79" s="81" t="s">
        <v>105</v>
      </c>
      <c r="C79" s="82" t="s">
        <v>1079</v>
      </c>
      <c r="D79" s="84" t="s">
        <v>1080</v>
      </c>
      <c r="E79" s="83">
        <v>1</v>
      </c>
      <c r="F79" s="84" t="s">
        <v>1026</v>
      </c>
      <c r="G79" s="97">
        <v>1</v>
      </c>
      <c r="H79" s="108" t="str">
        <f t="shared" si="14"/>
        <v>No</v>
      </c>
      <c r="I79" s="87">
        <f>IF(H79=Listas!$A$3,Baremo!G79,0)</f>
        <v>0</v>
      </c>
      <c r="J79" s="88"/>
      <c r="K79" s="540" t="s">
        <v>1002</v>
      </c>
      <c r="L79" s="532" t="s">
        <v>1136</v>
      </c>
    </row>
    <row r="80" spans="1:12" ht="34.5" thickBot="1" x14ac:dyDescent="0.3">
      <c r="A80" s="53" t="s">
        <v>166</v>
      </c>
      <c r="B80" s="89" t="s">
        <v>106</v>
      </c>
      <c r="C80" s="90" t="s">
        <v>868</v>
      </c>
      <c r="D80" s="92" t="s">
        <v>952</v>
      </c>
      <c r="E80" s="91">
        <v>1</v>
      </c>
      <c r="F80" s="92" t="s">
        <v>1026</v>
      </c>
      <c r="G80" s="98">
        <v>1</v>
      </c>
      <c r="H80" s="106" t="str">
        <f t="shared" si="14"/>
        <v>No</v>
      </c>
      <c r="I80" s="87">
        <f>IF(H80=Listas!$A$3,Baremo!G80,0)</f>
        <v>0</v>
      </c>
      <c r="J80" s="88"/>
      <c r="K80" s="541" t="s">
        <v>1003</v>
      </c>
      <c r="L80" s="533" t="s">
        <v>1137</v>
      </c>
    </row>
    <row r="81" spans="1:13" ht="45.75" thickBot="1" x14ac:dyDescent="0.3">
      <c r="A81" s="65" t="s">
        <v>164</v>
      </c>
      <c r="B81" s="66" t="s">
        <v>107</v>
      </c>
      <c r="C81" s="67" t="s">
        <v>102</v>
      </c>
      <c r="D81" s="69" t="s">
        <v>953</v>
      </c>
      <c r="E81" s="68">
        <v>4</v>
      </c>
      <c r="F81" s="69" t="s">
        <v>18</v>
      </c>
      <c r="G81" s="70"/>
      <c r="H81" s="71"/>
      <c r="I81" s="72">
        <f>IF(Servicios!F10&gt;0,IF(SUM(I82:I84)&gt;E81,E81,SUM(I82:I84)),0)</f>
        <v>0</v>
      </c>
      <c r="J81" s="73" t="s">
        <v>1151</v>
      </c>
      <c r="K81" s="539" t="s">
        <v>1139</v>
      </c>
      <c r="L81" s="530" t="s">
        <v>973</v>
      </c>
    </row>
    <row r="82" spans="1:13" ht="23.25" thickBot="1" x14ac:dyDescent="0.3">
      <c r="A82" s="53" t="s">
        <v>166</v>
      </c>
      <c r="B82" s="81" t="s">
        <v>109</v>
      </c>
      <c r="C82" s="82" t="s">
        <v>869</v>
      </c>
      <c r="D82" s="84" t="s">
        <v>954</v>
      </c>
      <c r="E82" s="83">
        <v>4</v>
      </c>
      <c r="F82" s="84" t="s">
        <v>54</v>
      </c>
      <c r="G82" s="97">
        <f t="shared" ref="G82:G84" si="15">E82</f>
        <v>4</v>
      </c>
      <c r="H82" s="108" t="str">
        <f>IF(SUM(I83+I84)=0,IF(J82&lt;&gt;"","Si","No"),"No")</f>
        <v>No</v>
      </c>
      <c r="I82" s="87">
        <f>IF(H82=Listas!$A$3,Baremo!G82,0)</f>
        <v>0</v>
      </c>
      <c r="J82" s="88"/>
      <c r="K82" s="540" t="s">
        <v>1140</v>
      </c>
      <c r="L82" s="532" t="s">
        <v>1138</v>
      </c>
    </row>
    <row r="83" spans="1:13" ht="30.75" thickBot="1" x14ac:dyDescent="0.3">
      <c r="A83" s="53" t="s">
        <v>166</v>
      </c>
      <c r="B83" s="89" t="s">
        <v>110</v>
      </c>
      <c r="C83" s="90" t="s">
        <v>870</v>
      </c>
      <c r="D83" s="92" t="s">
        <v>955</v>
      </c>
      <c r="E83" s="91">
        <v>2</v>
      </c>
      <c r="F83" s="92" t="s">
        <v>54</v>
      </c>
      <c r="G83" s="98">
        <f t="shared" si="15"/>
        <v>2</v>
      </c>
      <c r="H83" s="106" t="str">
        <f t="shared" ref="H83:H84" si="16">IF(J83&lt;&gt;"","Si","No")</f>
        <v>No</v>
      </c>
      <c r="I83" s="95">
        <f>IF(H83=Listas!$A$3,Baremo!G83,0)</f>
        <v>0</v>
      </c>
      <c r="J83" s="88"/>
      <c r="K83" s="541" t="s">
        <v>1140</v>
      </c>
      <c r="L83" s="533" t="s">
        <v>1138</v>
      </c>
    </row>
    <row r="84" spans="1:13" ht="68.25" thickBot="1" x14ac:dyDescent="0.3">
      <c r="A84" s="53" t="s">
        <v>166</v>
      </c>
      <c r="B84" s="81" t="s">
        <v>111</v>
      </c>
      <c r="C84" s="82" t="s">
        <v>871</v>
      </c>
      <c r="D84" s="84" t="s">
        <v>956</v>
      </c>
      <c r="E84" s="83">
        <v>2</v>
      </c>
      <c r="F84" s="84" t="s">
        <v>1026</v>
      </c>
      <c r="G84" s="97">
        <f t="shared" si="15"/>
        <v>2</v>
      </c>
      <c r="H84" s="108" t="str">
        <f t="shared" si="16"/>
        <v>No</v>
      </c>
      <c r="I84" s="87">
        <f>IF(H84=Listas!$A$3,Baremo!G84,0)</f>
        <v>0</v>
      </c>
      <c r="J84" s="88"/>
      <c r="K84" s="540" t="s">
        <v>1140</v>
      </c>
      <c r="L84" s="532" t="s">
        <v>1141</v>
      </c>
    </row>
    <row r="85" spans="1:13" ht="79.5" thickBot="1" x14ac:dyDescent="0.3">
      <c r="A85" s="65" t="s">
        <v>164</v>
      </c>
      <c r="B85" s="110" t="s">
        <v>112</v>
      </c>
      <c r="C85" s="111" t="s">
        <v>108</v>
      </c>
      <c r="D85" s="597" t="s">
        <v>1081</v>
      </c>
      <c r="E85" s="68">
        <v>5</v>
      </c>
      <c r="F85" s="69" t="s">
        <v>18</v>
      </c>
      <c r="G85" s="70"/>
      <c r="H85" s="71"/>
      <c r="I85" s="72">
        <f>I86+I91+I107</f>
        <v>0</v>
      </c>
      <c r="J85" s="73" t="s">
        <v>962</v>
      </c>
      <c r="K85" s="539" t="s">
        <v>1004</v>
      </c>
      <c r="L85" s="530"/>
    </row>
    <row r="86" spans="1:13" ht="15.75" thickBot="1" x14ac:dyDescent="0.3">
      <c r="A86" s="15" t="s">
        <v>165</v>
      </c>
      <c r="B86" s="630" t="s">
        <v>1085</v>
      </c>
      <c r="C86" s="631"/>
      <c r="D86" s="631"/>
      <c r="E86" s="123">
        <v>5</v>
      </c>
      <c r="F86" s="124"/>
      <c r="G86" s="125"/>
      <c r="H86" s="126"/>
      <c r="I86" s="127">
        <f>IF($G$9=1,SUM(I88:I90),0)</f>
        <v>0</v>
      </c>
      <c r="J86" s="128"/>
      <c r="K86" s="545"/>
      <c r="L86" s="535"/>
    </row>
    <row r="87" spans="1:13" ht="15.75" thickBot="1" x14ac:dyDescent="0.3">
      <c r="A87" s="15" t="s">
        <v>165</v>
      </c>
      <c r="B87" s="129" t="s">
        <v>114</v>
      </c>
      <c r="C87" s="548" t="s">
        <v>892</v>
      </c>
      <c r="D87" s="598" t="s">
        <v>914</v>
      </c>
      <c r="E87" s="549"/>
      <c r="F87" s="76" t="s">
        <v>54</v>
      </c>
      <c r="G87" s="550"/>
      <c r="H87" s="551">
        <f>IFERROR(Balances!J79,0)</f>
        <v>0</v>
      </c>
      <c r="I87" s="130"/>
      <c r="J87" s="131"/>
      <c r="K87" s="528"/>
      <c r="L87" s="536"/>
    </row>
    <row r="88" spans="1:13" ht="15.75" thickBot="1" x14ac:dyDescent="0.3">
      <c r="A88" s="53" t="s">
        <v>166</v>
      </c>
      <c r="B88" s="132" t="s">
        <v>878</v>
      </c>
      <c r="C88" s="133" t="s">
        <v>1082</v>
      </c>
      <c r="D88" s="84" t="s">
        <v>1092</v>
      </c>
      <c r="E88" s="83">
        <v>5</v>
      </c>
      <c r="F88" s="84"/>
      <c r="G88" s="97">
        <v>2</v>
      </c>
      <c r="H88" s="134"/>
      <c r="I88" s="95">
        <f>IF(H87&gt;=G88,E88,0)</f>
        <v>0</v>
      </c>
      <c r="J88" s="88"/>
      <c r="K88" s="540"/>
      <c r="L88" s="532"/>
    </row>
    <row r="89" spans="1:13" ht="15.75" thickBot="1" x14ac:dyDescent="0.3">
      <c r="A89" s="53" t="s">
        <v>166</v>
      </c>
      <c r="B89" s="135" t="s">
        <v>879</v>
      </c>
      <c r="C89" s="136" t="s">
        <v>1083</v>
      </c>
      <c r="D89" s="92" t="s">
        <v>1092</v>
      </c>
      <c r="E89" s="91">
        <v>3</v>
      </c>
      <c r="F89" s="92"/>
      <c r="G89" s="98">
        <v>1</v>
      </c>
      <c r="H89" s="137"/>
      <c r="I89" s="95">
        <f>IF(SUM(I$88:I88)=0,IF($H$87&gt;G89,E89,0),0)</f>
        <v>0</v>
      </c>
      <c r="J89" s="88"/>
      <c r="K89" s="541"/>
      <c r="L89" s="533"/>
    </row>
    <row r="90" spans="1:13" ht="15.75" thickBot="1" x14ac:dyDescent="0.3">
      <c r="A90" s="53" t="s">
        <v>166</v>
      </c>
      <c r="B90" s="132" t="s">
        <v>880</v>
      </c>
      <c r="C90" s="133" t="s">
        <v>1084</v>
      </c>
      <c r="D90" s="84" t="s">
        <v>1092</v>
      </c>
      <c r="E90" s="83">
        <v>1</v>
      </c>
      <c r="F90" s="84"/>
      <c r="G90" s="97">
        <v>0.5</v>
      </c>
      <c r="H90" s="134"/>
      <c r="I90" s="95">
        <f>IF(SUM(I$88:I89)=0,IF($H$87&gt;G90,E90,0),0)</f>
        <v>0</v>
      </c>
      <c r="J90" s="88"/>
      <c r="K90" s="540"/>
      <c r="L90" s="532"/>
    </row>
    <row r="91" spans="1:13" ht="15.75" thickBot="1" x14ac:dyDescent="0.3">
      <c r="A91" s="15" t="s">
        <v>165</v>
      </c>
      <c r="B91" s="632" t="s">
        <v>1086</v>
      </c>
      <c r="C91" s="633"/>
      <c r="D91" s="633"/>
      <c r="E91" s="123">
        <v>5</v>
      </c>
      <c r="F91" s="124"/>
      <c r="G91" s="125"/>
      <c r="H91" s="138"/>
      <c r="I91" s="127">
        <f>IF($G$9=2,IF($G$10=2,SUM(I93:I106),0),0)</f>
        <v>0</v>
      </c>
      <c r="J91" s="128"/>
      <c r="K91" s="545"/>
      <c r="L91" s="535"/>
    </row>
    <row r="92" spans="1:13" ht="15.75" thickBot="1" x14ac:dyDescent="0.3">
      <c r="A92" s="15" t="s">
        <v>165</v>
      </c>
      <c r="B92" s="74" t="s">
        <v>116</v>
      </c>
      <c r="C92" s="139" t="s">
        <v>893</v>
      </c>
      <c r="D92" s="599" t="s">
        <v>911</v>
      </c>
      <c r="E92" s="75">
        <v>1.5</v>
      </c>
      <c r="F92" s="76" t="s">
        <v>1026</v>
      </c>
      <c r="G92" s="552"/>
      <c r="H92" s="551">
        <f>IFERROR(Balances!J82,0)</f>
        <v>0</v>
      </c>
      <c r="I92" s="317"/>
      <c r="J92" s="131"/>
      <c r="K92" s="528"/>
      <c r="L92" s="536"/>
    </row>
    <row r="93" spans="1:13" ht="15.75" thickBot="1" x14ac:dyDescent="0.3">
      <c r="A93" s="53" t="s">
        <v>166</v>
      </c>
      <c r="B93" s="132" t="s">
        <v>881</v>
      </c>
      <c r="C93" s="133" t="s">
        <v>1087</v>
      </c>
      <c r="D93" s="84" t="s">
        <v>1092</v>
      </c>
      <c r="E93" s="83">
        <v>1.5</v>
      </c>
      <c r="F93" s="84"/>
      <c r="G93" s="97">
        <v>1.5</v>
      </c>
      <c r="H93" s="134"/>
      <c r="I93" s="95">
        <f>IF(H92&gt;G94,E93,0)</f>
        <v>0</v>
      </c>
      <c r="J93" s="88"/>
      <c r="K93" s="540"/>
      <c r="L93" s="532"/>
      <c r="M93" s="140"/>
    </row>
    <row r="94" spans="1:13" ht="15.75" thickBot="1" x14ac:dyDescent="0.3">
      <c r="A94" s="53" t="s">
        <v>166</v>
      </c>
      <c r="B94" s="135" t="s">
        <v>882</v>
      </c>
      <c r="C94" s="136" t="s">
        <v>872</v>
      </c>
      <c r="D94" s="92" t="s">
        <v>1092</v>
      </c>
      <c r="E94" s="91">
        <v>1</v>
      </c>
      <c r="F94" s="92"/>
      <c r="G94" s="98">
        <v>1</v>
      </c>
      <c r="H94" s="137"/>
      <c r="I94" s="95">
        <f>IF(SUM(I93:I93)=0,IF($H$92&gt;G94,E94,0),0)</f>
        <v>0</v>
      </c>
      <c r="J94" s="88"/>
      <c r="K94" s="541"/>
      <c r="L94" s="533"/>
    </row>
    <row r="95" spans="1:13" ht="15.75" thickBot="1" x14ac:dyDescent="0.3">
      <c r="A95" s="53" t="s">
        <v>166</v>
      </c>
      <c r="B95" s="132" t="s">
        <v>883</v>
      </c>
      <c r="C95" s="133" t="s">
        <v>1088</v>
      </c>
      <c r="D95" s="84" t="s">
        <v>1092</v>
      </c>
      <c r="E95" s="83">
        <v>0.5</v>
      </c>
      <c r="F95" s="84"/>
      <c r="G95" s="97">
        <v>0.5</v>
      </c>
      <c r="H95" s="134"/>
      <c r="I95" s="95">
        <f>IF(SUM(I93:I94)=0,IF($H$92&gt;G95,E95,0),0)</f>
        <v>0</v>
      </c>
      <c r="J95" s="88"/>
      <c r="K95" s="540"/>
      <c r="L95" s="532"/>
    </row>
    <row r="96" spans="1:13" ht="15.75" thickBot="1" x14ac:dyDescent="0.3">
      <c r="A96" s="15" t="s">
        <v>165</v>
      </c>
      <c r="B96" s="74" t="s">
        <v>118</v>
      </c>
      <c r="C96" s="139" t="s">
        <v>894</v>
      </c>
      <c r="D96" s="599" t="s">
        <v>912</v>
      </c>
      <c r="E96" s="75">
        <v>1</v>
      </c>
      <c r="F96" s="76" t="s">
        <v>1026</v>
      </c>
      <c r="G96" s="77"/>
      <c r="H96" s="551">
        <f>IFERROR(Balances!J85,2)</f>
        <v>2</v>
      </c>
      <c r="I96" s="317"/>
      <c r="J96" s="131"/>
      <c r="K96" s="528"/>
      <c r="L96" s="536"/>
    </row>
    <row r="97" spans="1:13" ht="15.75" thickBot="1" x14ac:dyDescent="0.3">
      <c r="A97" s="53" t="s">
        <v>166</v>
      </c>
      <c r="B97" s="132" t="s">
        <v>884</v>
      </c>
      <c r="C97" s="133" t="s">
        <v>873</v>
      </c>
      <c r="D97" s="84" t="s">
        <v>1092</v>
      </c>
      <c r="E97" s="83">
        <v>1</v>
      </c>
      <c r="F97" s="84"/>
      <c r="G97" s="97">
        <v>0.5</v>
      </c>
      <c r="H97" s="134"/>
      <c r="I97" s="95">
        <f>IF(H96&lt;=G97,E97,0)</f>
        <v>0</v>
      </c>
      <c r="J97" s="88"/>
      <c r="K97" s="540"/>
      <c r="L97" s="532"/>
    </row>
    <row r="98" spans="1:13" ht="15.75" thickBot="1" x14ac:dyDescent="0.3">
      <c r="A98" s="53" t="s">
        <v>166</v>
      </c>
      <c r="B98" s="135" t="s">
        <v>885</v>
      </c>
      <c r="C98" s="136" t="s">
        <v>1089</v>
      </c>
      <c r="D98" s="92" t="s">
        <v>1092</v>
      </c>
      <c r="E98" s="91">
        <v>0.5</v>
      </c>
      <c r="F98" s="92"/>
      <c r="G98" s="98">
        <v>1</v>
      </c>
      <c r="H98" s="137"/>
      <c r="I98" s="95">
        <f>IF(I97=0,IF(H96&lt;G98,E98,0),0)</f>
        <v>0</v>
      </c>
      <c r="J98" s="88"/>
      <c r="K98" s="541"/>
      <c r="L98" s="533"/>
    </row>
    <row r="99" spans="1:13" ht="15.75" thickBot="1" x14ac:dyDescent="0.3">
      <c r="A99" s="53" t="s">
        <v>166</v>
      </c>
      <c r="B99" s="132" t="s">
        <v>886</v>
      </c>
      <c r="C99" s="133" t="s">
        <v>1090</v>
      </c>
      <c r="D99" s="84" t="s">
        <v>1092</v>
      </c>
      <c r="E99" s="83">
        <v>0.25</v>
      </c>
      <c r="F99" s="84"/>
      <c r="G99" s="97">
        <v>1.5</v>
      </c>
      <c r="H99" s="134"/>
      <c r="I99" s="95">
        <f>IF(SUM(I97:I98)=0,IF($H$96&lt;=G99,E99,0),0)</f>
        <v>0</v>
      </c>
      <c r="J99" s="88"/>
      <c r="K99" s="540"/>
      <c r="L99" s="532"/>
    </row>
    <row r="100" spans="1:13" ht="23.25" thickBot="1" x14ac:dyDescent="0.3">
      <c r="A100" s="15" t="s">
        <v>165</v>
      </c>
      <c r="B100" s="74" t="s">
        <v>119</v>
      </c>
      <c r="C100" s="139" t="s">
        <v>895</v>
      </c>
      <c r="D100" s="599" t="s">
        <v>913</v>
      </c>
      <c r="E100" s="75">
        <v>1.5</v>
      </c>
      <c r="F100" s="76" t="s">
        <v>1026</v>
      </c>
      <c r="G100" s="77"/>
      <c r="H100" s="553">
        <f>IFERROR(Balances!J88,0)</f>
        <v>0</v>
      </c>
      <c r="I100" s="317"/>
      <c r="J100" s="131"/>
      <c r="K100" s="528"/>
      <c r="L100" s="536"/>
    </row>
    <row r="101" spans="1:13" ht="15.75" thickBot="1" x14ac:dyDescent="0.3">
      <c r="A101" s="53" t="s">
        <v>166</v>
      </c>
      <c r="B101" s="132" t="s">
        <v>887</v>
      </c>
      <c r="C101" s="133" t="s">
        <v>874</v>
      </c>
      <c r="D101" s="84" t="s">
        <v>1092</v>
      </c>
      <c r="E101" s="83">
        <v>1.5</v>
      </c>
      <c r="F101" s="84"/>
      <c r="G101" s="141">
        <v>0.15</v>
      </c>
      <c r="H101" s="134"/>
      <c r="I101" s="95">
        <f>IF(H100&gt;G101,E101,0)</f>
        <v>0</v>
      </c>
      <c r="J101" s="88"/>
      <c r="K101" s="540"/>
      <c r="L101" s="532"/>
    </row>
    <row r="102" spans="1:13" ht="15.75" thickBot="1" x14ac:dyDescent="0.3">
      <c r="A102" s="53" t="s">
        <v>166</v>
      </c>
      <c r="B102" s="135" t="s">
        <v>888</v>
      </c>
      <c r="C102" s="136" t="s">
        <v>875</v>
      </c>
      <c r="D102" s="92" t="s">
        <v>1092</v>
      </c>
      <c r="E102" s="91">
        <v>1</v>
      </c>
      <c r="F102" s="92"/>
      <c r="G102" s="142">
        <v>0.05</v>
      </c>
      <c r="H102" s="137"/>
      <c r="I102" s="95">
        <f>IF(I101=0,IF(H100&gt;=G102,E102,0),0)</f>
        <v>0</v>
      </c>
      <c r="J102" s="88"/>
      <c r="K102" s="541"/>
      <c r="L102" s="533"/>
    </row>
    <row r="103" spans="1:13" ht="15.75" thickBot="1" x14ac:dyDescent="0.3">
      <c r="A103" s="53" t="s">
        <v>166</v>
      </c>
      <c r="B103" s="132" t="s">
        <v>889</v>
      </c>
      <c r="C103" s="133" t="s">
        <v>876</v>
      </c>
      <c r="D103" s="84" t="s">
        <v>1092</v>
      </c>
      <c r="E103" s="83">
        <v>0.5</v>
      </c>
      <c r="F103" s="84"/>
      <c r="G103" s="141">
        <v>0</v>
      </c>
      <c r="H103" s="134"/>
      <c r="I103" s="95">
        <f>IF(SUM(I$101:I102)=0,IF($H$100&gt;G103,E103,0),0)</f>
        <v>0</v>
      </c>
      <c r="J103" s="88"/>
      <c r="K103" s="540"/>
      <c r="L103" s="532"/>
    </row>
    <row r="104" spans="1:13" ht="15.75" thickBot="1" x14ac:dyDescent="0.3">
      <c r="A104" s="15" t="s">
        <v>165</v>
      </c>
      <c r="B104" s="74" t="s">
        <v>120</v>
      </c>
      <c r="C104" s="139" t="s">
        <v>896</v>
      </c>
      <c r="D104" s="599" t="s">
        <v>908</v>
      </c>
      <c r="E104" s="75">
        <v>1</v>
      </c>
      <c r="F104" s="76" t="s">
        <v>1026</v>
      </c>
      <c r="G104" s="77"/>
      <c r="H104" s="553">
        <f>IFERROR(Balances!J91,0)</f>
        <v>0</v>
      </c>
      <c r="I104" s="317"/>
      <c r="J104" s="131"/>
      <c r="K104" s="528"/>
      <c r="L104" s="536"/>
    </row>
    <row r="105" spans="1:13" ht="30.75" thickBot="1" x14ac:dyDescent="0.3">
      <c r="A105" s="53" t="s">
        <v>166</v>
      </c>
      <c r="B105" s="132" t="s">
        <v>890</v>
      </c>
      <c r="C105" s="133" t="s">
        <v>877</v>
      </c>
      <c r="D105" s="84" t="s">
        <v>1092</v>
      </c>
      <c r="E105" s="83">
        <v>1</v>
      </c>
      <c r="F105" s="84"/>
      <c r="G105" s="141">
        <v>1</v>
      </c>
      <c r="H105" s="134"/>
      <c r="I105" s="95">
        <f>IF(H104&gt;=G105,E105,0)</f>
        <v>0</v>
      </c>
      <c r="J105" s="88"/>
      <c r="K105" s="540"/>
      <c r="L105" s="532"/>
    </row>
    <row r="106" spans="1:13" ht="30.75" thickBot="1" x14ac:dyDescent="0.3">
      <c r="A106" s="53" t="s">
        <v>166</v>
      </c>
      <c r="B106" s="135" t="s">
        <v>891</v>
      </c>
      <c r="C106" s="136" t="s">
        <v>1091</v>
      </c>
      <c r="D106" s="92" t="s">
        <v>1092</v>
      </c>
      <c r="E106" s="91">
        <v>0.5</v>
      </c>
      <c r="F106" s="92"/>
      <c r="G106" s="142">
        <v>0.5</v>
      </c>
      <c r="H106" s="137"/>
      <c r="I106" s="95">
        <f>IF(SUM(I105:I105)=0,IF($H$104&gt;=G105,E106,0),0)</f>
        <v>0</v>
      </c>
      <c r="J106" s="88"/>
      <c r="K106" s="541"/>
      <c r="L106" s="533"/>
    </row>
    <row r="107" spans="1:13" ht="15.75" thickBot="1" x14ac:dyDescent="0.3">
      <c r="A107" s="15" t="s">
        <v>165</v>
      </c>
      <c r="B107" s="632" t="s">
        <v>1093</v>
      </c>
      <c r="C107" s="633"/>
      <c r="D107" s="633"/>
      <c r="E107" s="123">
        <v>5</v>
      </c>
      <c r="F107" s="143"/>
      <c r="G107" s="125"/>
      <c r="H107" s="144"/>
      <c r="I107" s="127">
        <f>IF($G$9=2,IF($G$10=1,0,SUM(I109:I118)),0)</f>
        <v>0</v>
      </c>
      <c r="J107" s="128"/>
      <c r="K107" s="545"/>
      <c r="L107" s="535"/>
    </row>
    <row r="108" spans="1:13" ht="15.75" thickBot="1" x14ac:dyDescent="0.3">
      <c r="A108" s="15" t="s">
        <v>165</v>
      </c>
      <c r="B108" s="74" t="s">
        <v>116</v>
      </c>
      <c r="C108" s="139" t="s">
        <v>893</v>
      </c>
      <c r="D108" s="599" t="s">
        <v>910</v>
      </c>
      <c r="E108" s="75">
        <v>2</v>
      </c>
      <c r="F108" s="76" t="s">
        <v>1026</v>
      </c>
      <c r="G108" s="552"/>
      <c r="H108" s="551">
        <f>IFERROR(Balances!$J$82,0)</f>
        <v>0</v>
      </c>
      <c r="I108" s="317"/>
      <c r="J108" s="131"/>
      <c r="K108" s="528"/>
      <c r="L108" s="536"/>
    </row>
    <row r="109" spans="1:13" ht="15.75" thickBot="1" x14ac:dyDescent="0.3">
      <c r="A109" s="53" t="s">
        <v>166</v>
      </c>
      <c r="B109" s="132" t="s">
        <v>881</v>
      </c>
      <c r="C109" s="133" t="s">
        <v>1087</v>
      </c>
      <c r="D109" s="84" t="s">
        <v>1092</v>
      </c>
      <c r="E109" s="83">
        <v>2</v>
      </c>
      <c r="F109" s="84"/>
      <c r="G109" s="97">
        <v>2</v>
      </c>
      <c r="H109" s="134"/>
      <c r="I109" s="95">
        <f>IF(H108&gt;G110,E109,0)</f>
        <v>0</v>
      </c>
      <c r="J109" s="88"/>
      <c r="K109" s="540"/>
      <c r="L109" s="532"/>
      <c r="M109" s="140"/>
    </row>
    <row r="110" spans="1:13" ht="15.75" thickBot="1" x14ac:dyDescent="0.3">
      <c r="A110" s="53" t="s">
        <v>166</v>
      </c>
      <c r="B110" s="135" t="s">
        <v>882</v>
      </c>
      <c r="C110" s="136" t="s">
        <v>872</v>
      </c>
      <c r="D110" s="92" t="s">
        <v>1092</v>
      </c>
      <c r="E110" s="91">
        <v>1</v>
      </c>
      <c r="F110" s="92"/>
      <c r="G110" s="98">
        <v>1.5</v>
      </c>
      <c r="H110" s="137"/>
      <c r="I110" s="95">
        <f>IF(SUM(I109:I109)=0,IF($H$92&gt;G110,E110,0),0)</f>
        <v>0</v>
      </c>
      <c r="J110" s="88"/>
      <c r="K110" s="541"/>
      <c r="L110" s="533"/>
    </row>
    <row r="111" spans="1:13" ht="15.75" thickBot="1" x14ac:dyDescent="0.3">
      <c r="A111" s="53" t="s">
        <v>166</v>
      </c>
      <c r="B111" s="132" t="s">
        <v>883</v>
      </c>
      <c r="C111" s="133" t="s">
        <v>1088</v>
      </c>
      <c r="D111" s="84" t="s">
        <v>1092</v>
      </c>
      <c r="E111" s="83">
        <v>0.5</v>
      </c>
      <c r="F111" s="84"/>
      <c r="G111" s="97">
        <v>1</v>
      </c>
      <c r="H111" s="134"/>
      <c r="I111" s="95">
        <f>IF(SUM(I109:I110)=0,IF($H$92&gt;G111,E111,0),0)</f>
        <v>0</v>
      </c>
      <c r="J111" s="88"/>
      <c r="K111" s="540"/>
      <c r="L111" s="532"/>
    </row>
    <row r="112" spans="1:13" ht="15.75" thickBot="1" x14ac:dyDescent="0.3">
      <c r="A112" s="15" t="s">
        <v>165</v>
      </c>
      <c r="B112" s="74" t="s">
        <v>118</v>
      </c>
      <c r="C112" s="139" t="s">
        <v>894</v>
      </c>
      <c r="D112" s="599" t="s">
        <v>909</v>
      </c>
      <c r="E112" s="75">
        <v>2</v>
      </c>
      <c r="F112" s="76" t="s">
        <v>1026</v>
      </c>
      <c r="G112" s="77"/>
      <c r="H112" s="551">
        <f>IFERROR(Balances!$J$85,2)</f>
        <v>2</v>
      </c>
      <c r="I112" s="317"/>
      <c r="J112" s="131"/>
      <c r="K112" s="528"/>
      <c r="L112" s="536"/>
    </row>
    <row r="113" spans="1:12" ht="15.75" thickBot="1" x14ac:dyDescent="0.3">
      <c r="A113" s="53" t="s">
        <v>166</v>
      </c>
      <c r="B113" s="132" t="s">
        <v>884</v>
      </c>
      <c r="C113" s="133" t="s">
        <v>873</v>
      </c>
      <c r="D113" s="84" t="s">
        <v>1092</v>
      </c>
      <c r="E113" s="83">
        <v>2</v>
      </c>
      <c r="F113" s="84"/>
      <c r="G113" s="97">
        <v>0</v>
      </c>
      <c r="H113" s="134"/>
      <c r="I113" s="95">
        <f>IF(H112&lt;=G113,E113,0)</f>
        <v>0</v>
      </c>
      <c r="J113" s="88"/>
      <c r="K113" s="540"/>
      <c r="L113" s="532"/>
    </row>
    <row r="114" spans="1:12" ht="15.75" thickBot="1" x14ac:dyDescent="0.3">
      <c r="A114" s="53" t="s">
        <v>166</v>
      </c>
      <c r="B114" s="135" t="s">
        <v>885</v>
      </c>
      <c r="C114" s="136" t="s">
        <v>1089</v>
      </c>
      <c r="D114" s="92" t="s">
        <v>1092</v>
      </c>
      <c r="E114" s="91">
        <v>1</v>
      </c>
      <c r="F114" s="92"/>
      <c r="G114" s="98">
        <v>1</v>
      </c>
      <c r="H114" s="137"/>
      <c r="I114" s="95">
        <f>IF(I113=0,IF(H112&lt;G114,E114,0),0)</f>
        <v>0</v>
      </c>
      <c r="J114" s="88"/>
      <c r="K114" s="541"/>
      <c r="L114" s="533"/>
    </row>
    <row r="115" spans="1:12" ht="15.75" thickBot="1" x14ac:dyDescent="0.3">
      <c r="A115" s="53" t="s">
        <v>166</v>
      </c>
      <c r="B115" s="132" t="s">
        <v>886</v>
      </c>
      <c r="C115" s="133" t="s">
        <v>1090</v>
      </c>
      <c r="D115" s="84" t="s">
        <v>1092</v>
      </c>
      <c r="E115" s="83">
        <v>0.5</v>
      </c>
      <c r="F115" s="84"/>
      <c r="G115" s="97">
        <v>1.5</v>
      </c>
      <c r="H115" s="134"/>
      <c r="I115" s="95">
        <f>IF(SUM(I113:I114)=0,IF($H$96&lt;=G115,E115,0),0)</f>
        <v>0</v>
      </c>
      <c r="J115" s="88"/>
      <c r="K115" s="540"/>
      <c r="L115" s="532"/>
    </row>
    <row r="116" spans="1:12" ht="15.75" thickBot="1" x14ac:dyDescent="0.3">
      <c r="A116" s="15" t="s">
        <v>165</v>
      </c>
      <c r="B116" s="74" t="s">
        <v>120</v>
      </c>
      <c r="C116" s="139" t="s">
        <v>896</v>
      </c>
      <c r="D116" s="599" t="s">
        <v>908</v>
      </c>
      <c r="E116" s="75">
        <v>1</v>
      </c>
      <c r="F116" s="76" t="s">
        <v>1026</v>
      </c>
      <c r="G116" s="77"/>
      <c r="H116" s="553">
        <f>IFERROR(Balances!$J$91,0)</f>
        <v>0</v>
      </c>
      <c r="I116" s="317"/>
      <c r="J116" s="131"/>
      <c r="K116" s="528"/>
      <c r="L116" s="536"/>
    </row>
    <row r="117" spans="1:12" ht="30.75" thickBot="1" x14ac:dyDescent="0.3">
      <c r="A117" s="53" t="s">
        <v>166</v>
      </c>
      <c r="B117" s="132" t="s">
        <v>890</v>
      </c>
      <c r="C117" s="133" t="s">
        <v>877</v>
      </c>
      <c r="D117" s="84" t="s">
        <v>1092</v>
      </c>
      <c r="E117" s="83">
        <v>1</v>
      </c>
      <c r="F117" s="84"/>
      <c r="G117" s="141">
        <v>1</v>
      </c>
      <c r="H117" s="134"/>
      <c r="I117" s="95">
        <f>IF(H116&gt;=G117,E117,0)</f>
        <v>0</v>
      </c>
      <c r="J117" s="88"/>
      <c r="K117" s="540"/>
      <c r="L117" s="532"/>
    </row>
    <row r="118" spans="1:12" ht="30.75" thickBot="1" x14ac:dyDescent="0.3">
      <c r="A118" s="53" t="s">
        <v>166</v>
      </c>
      <c r="B118" s="135" t="s">
        <v>891</v>
      </c>
      <c r="C118" s="136" t="s">
        <v>1094</v>
      </c>
      <c r="D118" s="92" t="s">
        <v>1092</v>
      </c>
      <c r="E118" s="91">
        <v>0.5</v>
      </c>
      <c r="F118" s="92"/>
      <c r="G118" s="142">
        <v>0.5</v>
      </c>
      <c r="H118" s="137"/>
      <c r="I118" s="95">
        <f>IF(SUM(I117:I117)=0,IF($H$104&gt;=G117,E118,0),0)</f>
        <v>0</v>
      </c>
      <c r="J118" s="88"/>
      <c r="K118" s="541"/>
      <c r="L118" s="533"/>
    </row>
    <row r="119" spans="1:12" ht="79.5" thickBot="1" x14ac:dyDescent="0.3">
      <c r="A119" s="65" t="s">
        <v>164</v>
      </c>
      <c r="B119" s="110" t="s">
        <v>121</v>
      </c>
      <c r="C119" s="111" t="s">
        <v>113</v>
      </c>
      <c r="D119" s="597" t="s">
        <v>976</v>
      </c>
      <c r="E119" s="68">
        <v>7</v>
      </c>
      <c r="F119" s="69" t="s">
        <v>18</v>
      </c>
      <c r="G119" s="70"/>
      <c r="H119" s="71">
        <f>Innovacion!F10</f>
        <v>0</v>
      </c>
      <c r="I119" s="72">
        <f>IF(SUM(I120:I127)&gt;E119,E119,SUM(I120:I127))</f>
        <v>0</v>
      </c>
      <c r="J119" s="73" t="s">
        <v>1147</v>
      </c>
      <c r="K119" s="539" t="s">
        <v>1005</v>
      </c>
      <c r="L119" s="530" t="s">
        <v>1142</v>
      </c>
    </row>
    <row r="120" spans="1:12" ht="23.25" thickBot="1" x14ac:dyDescent="0.3">
      <c r="A120" s="53" t="s">
        <v>166</v>
      </c>
      <c r="B120" s="100" t="s">
        <v>123</v>
      </c>
      <c r="C120" s="101" t="s">
        <v>897</v>
      </c>
      <c r="D120" s="103" t="s">
        <v>115</v>
      </c>
      <c r="E120" s="83">
        <v>7</v>
      </c>
      <c r="F120" s="84" t="s">
        <v>54</v>
      </c>
      <c r="G120" s="97">
        <v>7</v>
      </c>
      <c r="H120" s="108" t="str">
        <f t="shared" ref="H120:H126" si="17">IF(I120=E120,"Si","No")</f>
        <v>No</v>
      </c>
      <c r="I120" s="87">
        <f>IF($H$119&gt;=E120,IF(SUM(I121:I$126)=0,E120,0),0)</f>
        <v>0</v>
      </c>
      <c r="J120" s="145"/>
      <c r="K120" s="540" t="s">
        <v>1006</v>
      </c>
      <c r="L120" s="532" t="s">
        <v>1006</v>
      </c>
    </row>
    <row r="121" spans="1:12" ht="23.25" thickBot="1" x14ac:dyDescent="0.3">
      <c r="A121" s="53" t="s">
        <v>166</v>
      </c>
      <c r="B121" s="89" t="s">
        <v>125</v>
      </c>
      <c r="C121" s="90" t="s">
        <v>898</v>
      </c>
      <c r="D121" s="92" t="s">
        <v>117</v>
      </c>
      <c r="E121" s="91">
        <v>6</v>
      </c>
      <c r="F121" s="92" t="s">
        <v>54</v>
      </c>
      <c r="G121" s="98">
        <v>6</v>
      </c>
      <c r="H121" s="106" t="str">
        <f t="shared" si="17"/>
        <v>No</v>
      </c>
      <c r="I121" s="95">
        <f>IF($H$119=E121,IF(SUM(I122:I$126)=0,E121,0),0)</f>
        <v>0</v>
      </c>
      <c r="J121" s="107"/>
      <c r="K121" s="541" t="s">
        <v>1006</v>
      </c>
      <c r="L121" s="533" t="s">
        <v>1006</v>
      </c>
    </row>
    <row r="122" spans="1:12" ht="23.25" thickBot="1" x14ac:dyDescent="0.3">
      <c r="A122" s="53" t="s">
        <v>166</v>
      </c>
      <c r="B122" s="81" t="s">
        <v>126</v>
      </c>
      <c r="C122" s="82" t="s">
        <v>899</v>
      </c>
      <c r="D122" s="84" t="s">
        <v>115</v>
      </c>
      <c r="E122" s="83">
        <v>5</v>
      </c>
      <c r="F122" s="84" t="s">
        <v>54</v>
      </c>
      <c r="G122" s="97">
        <v>5</v>
      </c>
      <c r="H122" s="134" t="str">
        <f t="shared" si="17"/>
        <v>No</v>
      </c>
      <c r="I122" s="87">
        <f>IF($H$119=E122,IF(SUM(I123:I$126)=0,E122,0),0)</f>
        <v>0</v>
      </c>
      <c r="J122" s="145"/>
      <c r="K122" s="540" t="s">
        <v>1006</v>
      </c>
      <c r="L122" s="532" t="s">
        <v>1006</v>
      </c>
    </row>
    <row r="123" spans="1:12" ht="23.25" thickBot="1" x14ac:dyDescent="0.3">
      <c r="A123" s="53" t="s">
        <v>166</v>
      </c>
      <c r="B123" s="89" t="s">
        <v>127</v>
      </c>
      <c r="C123" s="90" t="s">
        <v>900</v>
      </c>
      <c r="D123" s="92" t="s">
        <v>115</v>
      </c>
      <c r="E123" s="91">
        <v>4</v>
      </c>
      <c r="F123" s="92" t="s">
        <v>54</v>
      </c>
      <c r="G123" s="98">
        <v>4</v>
      </c>
      <c r="H123" s="137" t="str">
        <f t="shared" si="17"/>
        <v>No</v>
      </c>
      <c r="I123" s="95">
        <f>IF($H$119=E123,IF(SUM(I124:I$126)=0,E123,0),0)</f>
        <v>0</v>
      </c>
      <c r="J123" s="107"/>
      <c r="K123" s="541" t="s">
        <v>1006</v>
      </c>
      <c r="L123" s="533" t="s">
        <v>1006</v>
      </c>
    </row>
    <row r="124" spans="1:12" ht="23.25" thickBot="1" x14ac:dyDescent="0.3">
      <c r="A124" s="53" t="s">
        <v>166</v>
      </c>
      <c r="B124" s="81" t="s">
        <v>128</v>
      </c>
      <c r="C124" s="82" t="s">
        <v>901</v>
      </c>
      <c r="D124" s="84" t="s">
        <v>115</v>
      </c>
      <c r="E124" s="83">
        <v>3</v>
      </c>
      <c r="F124" s="84" t="s">
        <v>54</v>
      </c>
      <c r="G124" s="97">
        <v>3</v>
      </c>
      <c r="H124" s="134" t="str">
        <f t="shared" si="17"/>
        <v>No</v>
      </c>
      <c r="I124" s="87">
        <f>IF($H$119=E124,IF(SUM(I125:I$126)=0,E124,0),0)</f>
        <v>0</v>
      </c>
      <c r="J124" s="145"/>
      <c r="K124" s="540" t="s">
        <v>1006</v>
      </c>
      <c r="L124" s="532" t="s">
        <v>1006</v>
      </c>
    </row>
    <row r="125" spans="1:12" ht="23.25" thickBot="1" x14ac:dyDescent="0.3">
      <c r="A125" s="53" t="s">
        <v>166</v>
      </c>
      <c r="B125" s="89" t="s">
        <v>905</v>
      </c>
      <c r="C125" s="90" t="s">
        <v>902</v>
      </c>
      <c r="D125" s="92" t="s">
        <v>115</v>
      </c>
      <c r="E125" s="91">
        <v>2</v>
      </c>
      <c r="F125" s="92" t="s">
        <v>54</v>
      </c>
      <c r="G125" s="98">
        <v>2</v>
      </c>
      <c r="H125" s="137" t="str">
        <f t="shared" si="17"/>
        <v>No</v>
      </c>
      <c r="I125" s="95">
        <f>IF($H$119=E125,IF(SUM(I126:I$126)=0,E125,0),0)</f>
        <v>0</v>
      </c>
      <c r="J125" s="107"/>
      <c r="K125" s="541" t="s">
        <v>1006</v>
      </c>
      <c r="L125" s="533" t="s">
        <v>1006</v>
      </c>
    </row>
    <row r="126" spans="1:12" ht="23.25" thickBot="1" x14ac:dyDescent="0.3">
      <c r="A126" s="53" t="s">
        <v>166</v>
      </c>
      <c r="B126" s="81" t="s">
        <v>906</v>
      </c>
      <c r="C126" s="82" t="s">
        <v>903</v>
      </c>
      <c r="D126" s="84" t="s">
        <v>115</v>
      </c>
      <c r="E126" s="83">
        <v>1</v>
      </c>
      <c r="F126" s="84" t="s">
        <v>54</v>
      </c>
      <c r="G126" s="97">
        <v>1</v>
      </c>
      <c r="H126" s="134" t="str">
        <f t="shared" si="17"/>
        <v>No</v>
      </c>
      <c r="I126" s="87">
        <f>IF($H$119=E126,E126,0)</f>
        <v>0</v>
      </c>
      <c r="J126" s="145"/>
      <c r="K126" s="540" t="s">
        <v>1006</v>
      </c>
      <c r="L126" s="532" t="s">
        <v>1006</v>
      </c>
    </row>
    <row r="127" spans="1:12" ht="30.75" thickBot="1" x14ac:dyDescent="0.3">
      <c r="A127" s="53" t="s">
        <v>166</v>
      </c>
      <c r="B127" s="89" t="s">
        <v>907</v>
      </c>
      <c r="C127" s="90" t="s">
        <v>904</v>
      </c>
      <c r="D127" s="92" t="s">
        <v>977</v>
      </c>
      <c r="E127" s="91">
        <v>2</v>
      </c>
      <c r="F127" s="92" t="s">
        <v>1026</v>
      </c>
      <c r="G127" s="98">
        <v>2</v>
      </c>
      <c r="H127" s="137" t="str">
        <f>IF(Innovacion!F37&gt;0,"Si","No")</f>
        <v>No</v>
      </c>
      <c r="I127" s="95">
        <f>IF(H127=Listas!$A$3,Baremo!G127,0)</f>
        <v>0</v>
      </c>
      <c r="J127" s="107"/>
      <c r="K127" s="541" t="s">
        <v>1143</v>
      </c>
      <c r="L127" s="533" t="s">
        <v>1143</v>
      </c>
    </row>
    <row r="128" spans="1:12" ht="57" thickBot="1" x14ac:dyDescent="0.3">
      <c r="A128" s="65" t="s">
        <v>164</v>
      </c>
      <c r="B128" s="66" t="s">
        <v>926</v>
      </c>
      <c r="C128" s="111" t="s">
        <v>122</v>
      </c>
      <c r="D128" s="597" t="s">
        <v>1095</v>
      </c>
      <c r="E128" s="68">
        <v>7</v>
      </c>
      <c r="F128" s="69" t="s">
        <v>18</v>
      </c>
      <c r="G128" s="70"/>
      <c r="H128" s="71">
        <f>Necesidades!D10</f>
        <v>0</v>
      </c>
      <c r="I128" s="72">
        <f>IF(SUM(I129:I133)&gt;E128,E128,SUM(I129:I133))</f>
        <v>0</v>
      </c>
      <c r="J128" s="73" t="s">
        <v>1148</v>
      </c>
      <c r="K128" s="539" t="s">
        <v>1007</v>
      </c>
      <c r="L128" s="530" t="s">
        <v>1144</v>
      </c>
    </row>
    <row r="129" spans="1:12" ht="23.25" thickBot="1" x14ac:dyDescent="0.3">
      <c r="A129" s="53" t="s">
        <v>166</v>
      </c>
      <c r="B129" s="81" t="s">
        <v>921</v>
      </c>
      <c r="C129" s="101" t="s">
        <v>916</v>
      </c>
      <c r="D129" s="103" t="s">
        <v>124</v>
      </c>
      <c r="E129" s="83">
        <v>7</v>
      </c>
      <c r="F129" s="84" t="s">
        <v>54</v>
      </c>
      <c r="G129" s="97">
        <v>5</v>
      </c>
      <c r="H129" s="108" t="str">
        <f t="shared" ref="H129:H131" si="18">IF(I129=E129,"Si","No")</f>
        <v>No</v>
      </c>
      <c r="I129" s="87">
        <f>IF($H$128&gt;=G129,IF(SUM(I130:I$133)=0,E129,0),0)</f>
        <v>0</v>
      </c>
      <c r="J129" s="145"/>
      <c r="K129" s="540" t="s">
        <v>1008</v>
      </c>
      <c r="L129" s="532" t="s">
        <v>1008</v>
      </c>
    </row>
    <row r="130" spans="1:12" ht="23.25" thickBot="1" x14ac:dyDescent="0.3">
      <c r="A130" s="53" t="s">
        <v>166</v>
      </c>
      <c r="B130" s="89" t="s">
        <v>922</v>
      </c>
      <c r="C130" s="90" t="s">
        <v>917</v>
      </c>
      <c r="D130" s="92" t="s">
        <v>124</v>
      </c>
      <c r="E130" s="91">
        <v>5</v>
      </c>
      <c r="F130" s="92" t="s">
        <v>54</v>
      </c>
      <c r="G130" s="98">
        <v>4</v>
      </c>
      <c r="H130" s="106" t="str">
        <f t="shared" si="18"/>
        <v>No</v>
      </c>
      <c r="I130" s="95">
        <f>IF($H$128=G130,IF(SUM(I131:I$133)=0,E130,0),0)</f>
        <v>0</v>
      </c>
      <c r="J130" s="107"/>
      <c r="K130" s="541" t="s">
        <v>1008</v>
      </c>
      <c r="L130" s="533" t="s">
        <v>1008</v>
      </c>
    </row>
    <row r="131" spans="1:12" ht="23.25" thickBot="1" x14ac:dyDescent="0.3">
      <c r="A131" s="53" t="s">
        <v>166</v>
      </c>
      <c r="B131" s="81" t="s">
        <v>923</v>
      </c>
      <c r="C131" s="82" t="s">
        <v>918</v>
      </c>
      <c r="D131" s="84" t="s">
        <v>124</v>
      </c>
      <c r="E131" s="83">
        <v>3</v>
      </c>
      <c r="F131" s="84" t="s">
        <v>54</v>
      </c>
      <c r="G131" s="97">
        <v>3</v>
      </c>
      <c r="H131" s="134" t="str">
        <f t="shared" si="18"/>
        <v>No</v>
      </c>
      <c r="I131" s="87">
        <f>IF($H$128=G131,IF(SUM(I132:I$133)=0,E131,0),0)</f>
        <v>0</v>
      </c>
      <c r="J131" s="145"/>
      <c r="K131" s="540" t="s">
        <v>1008</v>
      </c>
      <c r="L131" s="532" t="s">
        <v>1008</v>
      </c>
    </row>
    <row r="132" spans="1:12" ht="23.25" thickBot="1" x14ac:dyDescent="0.3">
      <c r="A132" s="53" t="s">
        <v>166</v>
      </c>
      <c r="B132" s="89" t="s">
        <v>924</v>
      </c>
      <c r="C132" s="90" t="s">
        <v>919</v>
      </c>
      <c r="D132" s="92" t="s">
        <v>124</v>
      </c>
      <c r="E132" s="91">
        <v>2</v>
      </c>
      <c r="F132" s="92" t="s">
        <v>54</v>
      </c>
      <c r="G132" s="98">
        <v>2</v>
      </c>
      <c r="H132" s="137" t="str">
        <f>IF(I132=E132,"Si","No")</f>
        <v>No</v>
      </c>
      <c r="I132" s="95">
        <f>IF($H$128=G132,IF(SUM(I133:I$133)=0,E132,0),0)</f>
        <v>0</v>
      </c>
      <c r="J132" s="107"/>
      <c r="K132" s="541" t="s">
        <v>1008</v>
      </c>
      <c r="L132" s="533" t="s">
        <v>1008</v>
      </c>
    </row>
    <row r="133" spans="1:12" ht="23.25" thickBot="1" x14ac:dyDescent="0.3">
      <c r="A133" s="53" t="s">
        <v>166</v>
      </c>
      <c r="B133" s="146" t="s">
        <v>925</v>
      </c>
      <c r="C133" s="147" t="s">
        <v>920</v>
      </c>
      <c r="D133" s="149" t="s">
        <v>124</v>
      </c>
      <c r="E133" s="148">
        <v>1</v>
      </c>
      <c r="F133" s="149" t="s">
        <v>54</v>
      </c>
      <c r="G133" s="150">
        <v>1</v>
      </c>
      <c r="H133" s="151" t="str">
        <f t="shared" ref="H133" si="19">IF(I133=E133,"Si","No")</f>
        <v>No</v>
      </c>
      <c r="I133" s="152">
        <f>IF($H$128=G133,E133,0)</f>
        <v>0</v>
      </c>
      <c r="J133" s="153"/>
      <c r="K133" s="546" t="s">
        <v>1008</v>
      </c>
      <c r="L133" s="537" t="s">
        <v>1008</v>
      </c>
    </row>
    <row r="134" spans="1:12" x14ac:dyDescent="0.25">
      <c r="A134" s="154"/>
      <c r="C134" s="155"/>
      <c r="I134" s="161"/>
    </row>
  </sheetData>
  <sheetProtection algorithmName="SHA-512" hashValue="qGpLK84MDdpMYPIumww2fCbZFw9LijXfu5ijiF6HhrJgqfVMXv9TwdFiQ7gIir0r4MrComFmnA+5VgmwVvFpXA==" saltValue="F3+r3UNwylZIdMrsqP6+Xw==" spinCount="100000" sheet="1" autoFilter="0"/>
  <autoFilter ref="A12:L133" xr:uid="{8B05247C-138D-4A64-A0F0-DD12BACDBF01}"/>
  <mergeCells count="15">
    <mergeCell ref="B91:D91"/>
    <mergeCell ref="B107:D107"/>
    <mergeCell ref="D5:E5"/>
    <mergeCell ref="D7:F7"/>
    <mergeCell ref="B1:D1"/>
    <mergeCell ref="F1:I1"/>
    <mergeCell ref="E4:F4"/>
    <mergeCell ref="F3:I3"/>
    <mergeCell ref="C2:I2"/>
    <mergeCell ref="C3:D3"/>
    <mergeCell ref="K1:L1"/>
    <mergeCell ref="I10:I11"/>
    <mergeCell ref="C8:F8"/>
    <mergeCell ref="C4:D4"/>
    <mergeCell ref="B86:D86"/>
  </mergeCells>
  <phoneticPr fontId="10" type="noConversion"/>
  <pageMargins left="0.35433070866141736" right="0.15748031496062992" top="1.1417322834645669" bottom="0.78740157480314965" header="0.31496062992125984" footer="0.31496062992125984"/>
  <pageSetup paperSize="9" scale="56" fitToHeight="0" orientation="portrait" r:id="rId1"/>
  <headerFooter scaleWithDoc="0">
    <oddHeader>&amp;L&amp;G</oddHeader>
    <oddFooter>&amp;L&amp;"Eras Demi ITC,Normal"&amp;8&amp;G&amp;R&amp;8&amp;P/&amp;N</oddFooter>
  </headerFooter>
  <ignoredErrors>
    <ignoredError sqref="I21 I27 H39 H54" formula="1"/>
  </ignoredErrors>
  <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promptTitle="Elegir valor de la lista:" prompt="General, Asociacion, Ayuntamiento, GDR" xr:uid="{00000000-0002-0000-0000-000005000000}">
          <x14:formula1>
            <xm:f>Listas!$A$23:$A$26</xm:f>
          </x14:formula1>
          <xm:sqref>C7</xm:sqref>
        </x14:dataValidation>
        <x14:dataValidation type="list" allowBlank="1" showInputMessage="1" showErrorMessage="1" xr:uid="{00000000-0002-0000-0000-000006000000}">
          <x14:formula1>
            <xm:f>Listas!$A$52:$A$56</xm:f>
          </x14:formula1>
          <xm:sqref>C8:F8</xm:sqref>
        </x14:dataValidation>
        <x14:dataValidation type="list" allowBlank="1" showInputMessage="1" showErrorMessage="1" promptTitle="Eligir valor de la lista" prompt="Física o Jurídica" xr:uid="{00000000-0002-0000-0000-000007000000}">
          <x14:formula1>
            <xm:f>Listas!$A$8:$A$9</xm:f>
          </x14:formula1>
          <xm:sqref>C9</xm:sqref>
        </x14:dataValidation>
        <x14:dataValidation type="list" allowBlank="1" showInputMessage="1" showErrorMessage="1" promptTitle="Elegir valor de la lista" prompt="Si ó No" xr:uid="{00000000-0002-0000-0000-000008000000}">
          <x14:formula1>
            <xm:f>Listas!$A$2:$A$3</xm:f>
          </x14:formula1>
          <xm:sqref>C10 F10</xm:sqref>
        </x14:dataValidation>
        <x14:dataValidation type="list" allowBlank="1" showInputMessage="1" showErrorMessage="1" promptTitle="Elegir valor de la lista" prompt="Municipio o Comarcca" xr:uid="{00000000-0002-0000-0000-000009000000}">
          <x14:formula1>
            <xm:f>Listas!$A$11:$A$21</xm:f>
          </x14:formula1>
          <xm:sqref>C4:D4</xm:sqref>
        </x14:dataValidation>
        <x14:dataValidation type="date" allowBlank="1" showInputMessage="1" showErrorMessage="1" errorTitle="Fecha no valida" error="Introducir una fecha de la convocatoria 2020" promptTitle="Introducir Fecha" prompt="Convocatoria 2020" xr:uid="{00000000-0002-0000-0000-000002000000}">
          <x14:formula1>
            <xm:f>Listas!A61</xm:f>
          </x14:formula1>
          <x14:formula2>
            <xm:f>Listas!A62</xm:f>
          </x14:formula2>
          <xm:sqref>C5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A1:N79"/>
  <sheetViews>
    <sheetView topLeftCell="A49" workbookViewId="0">
      <selection activeCell="D65" sqref="D65"/>
    </sheetView>
  </sheetViews>
  <sheetFormatPr baseColWidth="10" defaultColWidth="11.42578125" defaultRowHeight="12.75" x14ac:dyDescent="0.2"/>
  <cols>
    <col min="1" max="1" width="33.85546875" style="3" bestFit="1" customWidth="1"/>
    <col min="2" max="2" width="19.140625" style="2" customWidth="1"/>
    <col min="3" max="3" width="7.140625" style="2" customWidth="1"/>
    <col min="4" max="4" width="23.42578125" style="2" bestFit="1" customWidth="1"/>
    <col min="5" max="5" width="11.85546875" style="2" bestFit="1" customWidth="1"/>
    <col min="6" max="6" width="16.5703125" style="2" customWidth="1"/>
    <col min="7" max="16384" width="11.42578125" style="2"/>
  </cols>
  <sheetData>
    <row r="1" spans="1:14" x14ac:dyDescent="0.2">
      <c r="A1" s="1" t="s">
        <v>158</v>
      </c>
    </row>
    <row r="2" spans="1:14" x14ac:dyDescent="0.2">
      <c r="A2" s="3" t="s">
        <v>159</v>
      </c>
      <c r="B2" s="4" t="s">
        <v>23</v>
      </c>
    </row>
    <row r="3" spans="1:14" x14ac:dyDescent="0.2">
      <c r="A3" s="3" t="s">
        <v>160</v>
      </c>
      <c r="B3" s="4" t="s">
        <v>23</v>
      </c>
    </row>
    <row r="4" spans="1:14" x14ac:dyDescent="0.2">
      <c r="A4" s="1" t="s">
        <v>336</v>
      </c>
    </row>
    <row r="5" spans="1:14" x14ac:dyDescent="0.2">
      <c r="A5" s="14" t="s">
        <v>558</v>
      </c>
    </row>
    <row r="6" spans="1:14" x14ac:dyDescent="0.2">
      <c r="A6" s="14" t="s">
        <v>559</v>
      </c>
    </row>
    <row r="7" spans="1:14" x14ac:dyDescent="0.2">
      <c r="A7" s="1" t="s">
        <v>1</v>
      </c>
    </row>
    <row r="8" spans="1:14" x14ac:dyDescent="0.2">
      <c r="A8" s="3" t="s">
        <v>0</v>
      </c>
      <c r="B8" s="4" t="s">
        <v>23</v>
      </c>
    </row>
    <row r="9" spans="1:14" ht="15" x14ac:dyDescent="0.25">
      <c r="A9" s="3" t="s">
        <v>2</v>
      </c>
      <c r="B9" s="4" t="s">
        <v>23</v>
      </c>
      <c r="K9" s="17"/>
      <c r="L9" s="17"/>
      <c r="M9" s="17"/>
      <c r="N9" s="17"/>
    </row>
    <row r="10" spans="1:14" ht="15" x14ac:dyDescent="0.25">
      <c r="A10" s="1" t="s">
        <v>4</v>
      </c>
      <c r="B10" s="5" t="s">
        <v>163</v>
      </c>
      <c r="C10" s="1" t="s">
        <v>162</v>
      </c>
      <c r="K10" s="17"/>
      <c r="L10" s="17"/>
      <c r="M10" s="17"/>
      <c r="N10" s="17"/>
    </row>
    <row r="11" spans="1:14" ht="15" x14ac:dyDescent="0.25">
      <c r="A11" s="3" t="s">
        <v>5</v>
      </c>
      <c r="B11" s="6">
        <v>1</v>
      </c>
      <c r="C11" s="6">
        <v>1</v>
      </c>
      <c r="I11" s="7"/>
      <c r="K11" s="17"/>
      <c r="L11" s="17"/>
      <c r="M11" s="17"/>
      <c r="N11" s="17"/>
    </row>
    <row r="12" spans="1:14" ht="15" x14ac:dyDescent="0.25">
      <c r="A12" s="3" t="s">
        <v>6</v>
      </c>
      <c r="B12" s="6">
        <v>2</v>
      </c>
      <c r="C12" s="6">
        <v>2</v>
      </c>
      <c r="I12" s="7"/>
      <c r="K12" s="17"/>
      <c r="L12" s="17"/>
      <c r="M12" s="17"/>
      <c r="N12" s="17"/>
    </row>
    <row r="13" spans="1:14" ht="15" x14ac:dyDescent="0.25">
      <c r="A13" s="3" t="s">
        <v>7</v>
      </c>
      <c r="B13" s="6">
        <v>3</v>
      </c>
      <c r="C13" s="6">
        <v>3</v>
      </c>
      <c r="I13" s="7"/>
      <c r="K13" s="17"/>
      <c r="L13" s="17"/>
      <c r="M13" s="17"/>
      <c r="N13" s="17"/>
    </row>
    <row r="14" spans="1:14" ht="15" x14ac:dyDescent="0.25">
      <c r="A14" s="8" t="s">
        <v>12</v>
      </c>
      <c r="B14" s="6">
        <v>4</v>
      </c>
      <c r="C14" s="6">
        <v>4</v>
      </c>
      <c r="D14" s="9"/>
      <c r="E14" s="9"/>
      <c r="F14" s="9"/>
      <c r="G14" s="9"/>
      <c r="H14" s="9"/>
      <c r="I14" s="10"/>
      <c r="K14" s="17"/>
      <c r="L14" s="17"/>
      <c r="M14" s="17"/>
      <c r="N14" s="17"/>
    </row>
    <row r="15" spans="1:14" ht="15" x14ac:dyDescent="0.25">
      <c r="A15" s="3" t="s">
        <v>8</v>
      </c>
      <c r="B15" s="6">
        <v>5</v>
      </c>
      <c r="C15" s="6">
        <v>3</v>
      </c>
      <c r="I15" s="7"/>
      <c r="K15" s="17"/>
      <c r="L15" s="17"/>
      <c r="M15" s="17"/>
      <c r="N15" s="17"/>
    </row>
    <row r="16" spans="1:14" ht="15" x14ac:dyDescent="0.25">
      <c r="A16" s="3" t="s">
        <v>421</v>
      </c>
      <c r="B16" s="6">
        <v>6</v>
      </c>
      <c r="C16" s="6">
        <v>3</v>
      </c>
      <c r="I16" s="7"/>
      <c r="K16" s="17"/>
      <c r="L16" s="17"/>
      <c r="M16" s="17"/>
      <c r="N16" s="17"/>
    </row>
    <row r="17" spans="1:14" ht="15" x14ac:dyDescent="0.25">
      <c r="A17" s="3" t="s">
        <v>9</v>
      </c>
      <c r="B17" s="6">
        <v>7</v>
      </c>
      <c r="C17" s="6">
        <v>3</v>
      </c>
      <c r="I17" s="7"/>
      <c r="K17" s="17"/>
      <c r="L17" s="17"/>
      <c r="M17" s="17"/>
      <c r="N17" s="17"/>
    </row>
    <row r="18" spans="1:14" ht="15" x14ac:dyDescent="0.25">
      <c r="A18" s="3" t="s">
        <v>10</v>
      </c>
      <c r="B18" s="6">
        <v>8</v>
      </c>
      <c r="C18" s="6">
        <v>1</v>
      </c>
      <c r="I18" s="7"/>
      <c r="K18" s="17"/>
      <c r="L18" s="17"/>
      <c r="M18" s="17"/>
      <c r="N18" s="17"/>
    </row>
    <row r="19" spans="1:14" ht="15" x14ac:dyDescent="0.25">
      <c r="A19" s="3" t="s">
        <v>11</v>
      </c>
      <c r="B19" s="6">
        <v>9</v>
      </c>
      <c r="C19" s="6">
        <v>2</v>
      </c>
      <c r="I19" s="7"/>
      <c r="K19" s="17"/>
      <c r="L19" s="17"/>
      <c r="M19" s="17"/>
      <c r="N19" s="17"/>
    </row>
    <row r="20" spans="1:14" ht="15" x14ac:dyDescent="0.25">
      <c r="A20" s="3" t="s">
        <v>420</v>
      </c>
      <c r="B20" s="6">
        <v>10</v>
      </c>
      <c r="C20" s="6">
        <v>3</v>
      </c>
      <c r="I20" s="7"/>
      <c r="K20" s="17"/>
      <c r="L20" s="17"/>
      <c r="M20" s="17"/>
      <c r="N20" s="17"/>
    </row>
    <row r="21" spans="1:14" ht="15" x14ac:dyDescent="0.25">
      <c r="A21" s="3" t="s">
        <v>338</v>
      </c>
      <c r="B21" s="6">
        <v>11</v>
      </c>
      <c r="C21" s="6">
        <v>3</v>
      </c>
      <c r="I21" s="7"/>
      <c r="K21" s="17"/>
      <c r="L21" s="17"/>
      <c r="M21" s="17"/>
      <c r="N21" s="17"/>
    </row>
    <row r="22" spans="1:14" ht="15" x14ac:dyDescent="0.25">
      <c r="A22" s="1" t="s">
        <v>20</v>
      </c>
      <c r="K22" s="17"/>
      <c r="L22" s="17"/>
      <c r="M22" s="17"/>
      <c r="N22" s="17"/>
    </row>
    <row r="23" spans="1:14" ht="15" x14ac:dyDescent="0.25">
      <c r="A23" s="3" t="s">
        <v>22</v>
      </c>
      <c r="C23" s="2" t="s">
        <v>23</v>
      </c>
      <c r="D23" s="4" t="s">
        <v>24</v>
      </c>
      <c r="K23" s="17"/>
      <c r="L23" s="17"/>
      <c r="M23" s="17"/>
      <c r="N23" s="17"/>
    </row>
    <row r="24" spans="1:14" ht="15" x14ac:dyDescent="0.25">
      <c r="A24" s="3" t="s">
        <v>21</v>
      </c>
      <c r="D24" s="4" t="s">
        <v>24</v>
      </c>
      <c r="K24" s="17"/>
      <c r="L24" s="17"/>
      <c r="M24" s="17"/>
      <c r="N24" s="17"/>
    </row>
    <row r="25" spans="1:14" ht="15" x14ac:dyDescent="0.25">
      <c r="A25" s="3" t="s">
        <v>29</v>
      </c>
      <c r="D25" s="4" t="s">
        <v>24</v>
      </c>
      <c r="K25" s="17"/>
      <c r="L25" s="17"/>
      <c r="M25" s="17"/>
      <c r="N25" s="17"/>
    </row>
    <row r="26" spans="1:14" ht="15" x14ac:dyDescent="0.25">
      <c r="A26" s="3" t="s">
        <v>28</v>
      </c>
      <c r="K26" s="17"/>
      <c r="L26" s="17"/>
      <c r="M26" s="17"/>
      <c r="N26" s="17"/>
    </row>
    <row r="27" spans="1:14" x14ac:dyDescent="0.2">
      <c r="A27" s="1" t="s">
        <v>337</v>
      </c>
    </row>
    <row r="28" spans="1:14" x14ac:dyDescent="0.2">
      <c r="A28" s="11" t="s">
        <v>342</v>
      </c>
    </row>
    <row r="29" spans="1:14" x14ac:dyDescent="0.2">
      <c r="A29" s="11" t="s">
        <v>341</v>
      </c>
    </row>
    <row r="30" spans="1:14" x14ac:dyDescent="0.2">
      <c r="A30" s="11" t="s">
        <v>340</v>
      </c>
    </row>
    <row r="31" spans="1:14" x14ac:dyDescent="0.2">
      <c r="A31" s="11" t="s">
        <v>981</v>
      </c>
    </row>
    <row r="32" spans="1:14" x14ac:dyDescent="0.2">
      <c r="A32" s="11" t="s">
        <v>343</v>
      </c>
    </row>
    <row r="33" spans="1:1" x14ac:dyDescent="0.2">
      <c r="A33" s="11" t="s">
        <v>334</v>
      </c>
    </row>
    <row r="34" spans="1:1" x14ac:dyDescent="0.2">
      <c r="A34" s="11" t="s">
        <v>333</v>
      </c>
    </row>
    <row r="35" spans="1:1" x14ac:dyDescent="0.2">
      <c r="A35" s="11" t="s">
        <v>516</v>
      </c>
    </row>
    <row r="36" spans="1:1" x14ac:dyDescent="0.2">
      <c r="A36" s="3" t="s">
        <v>349</v>
      </c>
    </row>
    <row r="37" spans="1:1" x14ac:dyDescent="0.2">
      <c r="A37" s="3" t="s">
        <v>354</v>
      </c>
    </row>
    <row r="38" spans="1:1" x14ac:dyDescent="0.2">
      <c r="A38" s="3" t="s">
        <v>517</v>
      </c>
    </row>
    <row r="39" spans="1:1" x14ac:dyDescent="0.2">
      <c r="A39" s="3" t="s">
        <v>518</v>
      </c>
    </row>
    <row r="40" spans="1:1" x14ac:dyDescent="0.2">
      <c r="A40" s="3" t="s">
        <v>422</v>
      </c>
    </row>
    <row r="41" spans="1:1" x14ac:dyDescent="0.2">
      <c r="A41" s="3" t="s">
        <v>423</v>
      </c>
    </row>
    <row r="42" spans="1:1" x14ac:dyDescent="0.2">
      <c r="A42" s="3" t="s">
        <v>498</v>
      </c>
    </row>
    <row r="43" spans="1:1" x14ac:dyDescent="0.2">
      <c r="A43" s="3" t="s">
        <v>499</v>
      </c>
    </row>
    <row r="44" spans="1:1" x14ac:dyDescent="0.2">
      <c r="A44" s="3" t="s">
        <v>497</v>
      </c>
    </row>
    <row r="45" spans="1:1" x14ac:dyDescent="0.2">
      <c r="A45" s="3" t="s">
        <v>493</v>
      </c>
    </row>
    <row r="46" spans="1:1" x14ac:dyDescent="0.2">
      <c r="A46" s="3" t="s">
        <v>543</v>
      </c>
    </row>
    <row r="47" spans="1:1" x14ac:dyDescent="0.2">
      <c r="A47" s="3" t="str">
        <f>"Indicar  "&amp;A3&amp;" o "&amp;A2&amp;" es el IVA subvencionable"</f>
        <v>Indicar  Si o No es el IVA subvencionable</v>
      </c>
    </row>
    <row r="48" spans="1:1" x14ac:dyDescent="0.2">
      <c r="A48" s="3" t="s">
        <v>513</v>
      </c>
    </row>
    <row r="49" spans="1:8" x14ac:dyDescent="0.2">
      <c r="A49" s="3" t="s">
        <v>568</v>
      </c>
    </row>
    <row r="50" spans="1:8" x14ac:dyDescent="0.2">
      <c r="A50" s="3" t="s">
        <v>569</v>
      </c>
    </row>
    <row r="51" spans="1:8" x14ac:dyDescent="0.2">
      <c r="A51" s="1" t="s">
        <v>837</v>
      </c>
      <c r="B51" s="1" t="s">
        <v>14</v>
      </c>
      <c r="C51" s="1" t="s">
        <v>837</v>
      </c>
      <c r="D51" s="1" t="s">
        <v>15</v>
      </c>
      <c r="E51" s="1" t="s">
        <v>17</v>
      </c>
      <c r="F51" s="1" t="s">
        <v>16</v>
      </c>
      <c r="G51" s="1" t="s">
        <v>514</v>
      </c>
    </row>
    <row r="52" spans="1:8" ht="48" x14ac:dyDescent="0.2">
      <c r="A52" s="609" t="str">
        <f>C52&amp;" "&amp;D52</f>
        <v>Linea 1 ACTUACIÓN PARA EL FORTALECIMIENTO Y ANIMACIÓN DEL TEJIDO ASOCIATIVO COMARCAL</v>
      </c>
      <c r="B52" s="610">
        <v>1</v>
      </c>
      <c r="C52" s="611" t="str">
        <f>"Linea "&amp;B52</f>
        <v>Linea 1</v>
      </c>
      <c r="D52" s="609" t="s">
        <v>25</v>
      </c>
      <c r="E52" s="612" t="s">
        <v>19</v>
      </c>
      <c r="F52" s="611" t="s">
        <v>28</v>
      </c>
      <c r="G52" s="613">
        <v>0.9</v>
      </c>
    </row>
    <row r="53" spans="1:8" ht="72" x14ac:dyDescent="0.2">
      <c r="A53" s="614" t="str">
        <f>C53&amp;" "&amp;D53</f>
        <v>Linea 2 ACTUACIÓN PARA LA VERTEBRACIÓN EMPRESARIAL Y LABORAL, LA FORMACIÓN ORIENTADA AL EMPLEO Y LA INTEGRACIÓN SOCIAL</v>
      </c>
      <c r="B53" s="615">
        <v>2</v>
      </c>
      <c r="C53" s="616" t="str">
        <f t="shared" ref="C53:C55" si="0">"Linea "&amp;B53</f>
        <v>Linea 2</v>
      </c>
      <c r="D53" s="614" t="s">
        <v>26</v>
      </c>
      <c r="E53" s="617" t="s">
        <v>19</v>
      </c>
      <c r="F53" s="616" t="s">
        <v>28</v>
      </c>
      <c r="G53" s="618">
        <v>0.9</v>
      </c>
    </row>
    <row r="54" spans="1:8" ht="60" x14ac:dyDescent="0.2">
      <c r="A54" s="609" t="str">
        <f>C54&amp;" "&amp;D54</f>
        <v>Linea 3 PLAN INTEGRAL DE APOYO AL TEJIDO PRODUCTIVO A TRAVÉS DE EMPRESAS QUE FAVOREZCAN EL EMPLEO COMARCAL</v>
      </c>
      <c r="B54" s="610">
        <v>3</v>
      </c>
      <c r="C54" s="611" t="str">
        <f t="shared" si="0"/>
        <v>Linea 3</v>
      </c>
      <c r="D54" s="609" t="s">
        <v>27</v>
      </c>
      <c r="E54" s="612" t="s">
        <v>18</v>
      </c>
      <c r="F54" s="611" t="s">
        <v>22</v>
      </c>
      <c r="G54" s="613">
        <v>0.75</v>
      </c>
    </row>
    <row r="55" spans="1:8" ht="60" x14ac:dyDescent="0.2">
      <c r="A55" s="614" t="str">
        <f>C55&amp;" "&amp;D55</f>
        <v>Linea 4 PROGRAMA DE INTERVENCIÓN PARA LA ADECUACIÓN Y FOMENTO DE LOS RECURSOS PÚBLICOS MUNICIPALES</v>
      </c>
      <c r="B55" s="615">
        <v>4</v>
      </c>
      <c r="C55" s="616" t="str">
        <f t="shared" si="0"/>
        <v>Linea 4</v>
      </c>
      <c r="D55" s="614" t="s">
        <v>1180</v>
      </c>
      <c r="E55" s="617" t="s">
        <v>19</v>
      </c>
      <c r="F55" s="616" t="s">
        <v>28</v>
      </c>
      <c r="G55" s="618">
        <v>0.9</v>
      </c>
    </row>
    <row r="56" spans="1:8" x14ac:dyDescent="0.2">
      <c r="A56" s="518" t="str">
        <f>C56&amp;" "&amp;D56</f>
        <v xml:space="preserve"> </v>
      </c>
      <c r="B56" s="519">
        <v>5</v>
      </c>
      <c r="C56" s="520"/>
      <c r="D56" s="518"/>
      <c r="E56" s="521"/>
      <c r="F56" s="520"/>
      <c r="G56" s="522"/>
    </row>
    <row r="57" spans="1:8" x14ac:dyDescent="0.2">
      <c r="A57" s="1" t="s">
        <v>345</v>
      </c>
      <c r="B57" s="1" t="s">
        <v>346</v>
      </c>
      <c r="H57" s="3"/>
    </row>
    <row r="58" spans="1:8" x14ac:dyDescent="0.2">
      <c r="A58" s="3">
        <v>20</v>
      </c>
      <c r="B58" s="2" t="s">
        <v>347</v>
      </c>
    </row>
    <row r="59" spans="1:8" x14ac:dyDescent="0.2">
      <c r="A59" s="3">
        <v>200</v>
      </c>
      <c r="B59" s="2" t="s">
        <v>348</v>
      </c>
    </row>
    <row r="60" spans="1:8" x14ac:dyDescent="0.2">
      <c r="A60" s="1" t="s">
        <v>350</v>
      </c>
      <c r="B60" s="1" t="s">
        <v>346</v>
      </c>
    </row>
    <row r="61" spans="1:8" x14ac:dyDescent="0.2">
      <c r="A61" s="12">
        <v>44124</v>
      </c>
      <c r="B61" s="2" t="s">
        <v>351</v>
      </c>
    </row>
    <row r="62" spans="1:8" x14ac:dyDescent="0.2">
      <c r="A62" s="12">
        <v>44216</v>
      </c>
    </row>
    <row r="63" spans="1:8" x14ac:dyDescent="0.2">
      <c r="A63" s="1" t="s">
        <v>355</v>
      </c>
      <c r="B63" s="1" t="s">
        <v>346</v>
      </c>
    </row>
    <row r="64" spans="1:8" x14ac:dyDescent="0.2">
      <c r="A64" s="13">
        <v>0</v>
      </c>
      <c r="B64" s="2" t="s">
        <v>356</v>
      </c>
    </row>
    <row r="65" spans="1:2" x14ac:dyDescent="0.2">
      <c r="A65" s="13">
        <v>10000000</v>
      </c>
      <c r="B65" s="2" t="s">
        <v>357</v>
      </c>
    </row>
    <row r="66" spans="1:2" x14ac:dyDescent="0.2">
      <c r="A66" s="3" t="s">
        <v>456</v>
      </c>
    </row>
    <row r="67" spans="1:2" x14ac:dyDescent="0.2">
      <c r="A67" s="3" t="s">
        <v>460</v>
      </c>
    </row>
    <row r="69" spans="1:2" x14ac:dyDescent="0.2">
      <c r="A69" s="1" t="s">
        <v>515</v>
      </c>
      <c r="B69" s="1" t="s">
        <v>346</v>
      </c>
    </row>
    <row r="70" spans="1:2" x14ac:dyDescent="0.2">
      <c r="A70" s="3" t="s">
        <v>471</v>
      </c>
    </row>
    <row r="71" spans="1:2" x14ac:dyDescent="0.2">
      <c r="A71" s="3" t="s">
        <v>472</v>
      </c>
    </row>
    <row r="72" spans="1:2" x14ac:dyDescent="0.2">
      <c r="A72" s="1" t="s">
        <v>523</v>
      </c>
      <c r="B72" s="1" t="s">
        <v>346</v>
      </c>
    </row>
    <row r="73" spans="1:2" x14ac:dyDescent="0.2">
      <c r="A73" s="3" t="s">
        <v>535</v>
      </c>
      <c r="B73" s="2" t="s">
        <v>536</v>
      </c>
    </row>
    <row r="74" spans="1:2" x14ac:dyDescent="0.2">
      <c r="A74" s="3" t="s">
        <v>537</v>
      </c>
      <c r="B74" s="2" t="s">
        <v>538</v>
      </c>
    </row>
    <row r="75" spans="1:2" x14ac:dyDescent="0.2">
      <c r="A75" s="3" t="s">
        <v>539</v>
      </c>
      <c r="B75" s="3" t="s">
        <v>555</v>
      </c>
    </row>
    <row r="76" spans="1:2" x14ac:dyDescent="0.2">
      <c r="A76" s="3" t="s">
        <v>540</v>
      </c>
      <c r="B76" s="2" t="s">
        <v>556</v>
      </c>
    </row>
    <row r="77" spans="1:2" x14ac:dyDescent="0.2">
      <c r="A77" s="3" t="s">
        <v>541</v>
      </c>
      <c r="B77" s="2" t="s">
        <v>557</v>
      </c>
    </row>
    <row r="78" spans="1:2" x14ac:dyDescent="0.2">
      <c r="A78" s="3" t="s">
        <v>542</v>
      </c>
    </row>
    <row r="79" spans="1:2" x14ac:dyDescent="0.2">
      <c r="A79" s="3" t="s">
        <v>532</v>
      </c>
    </row>
  </sheetData>
  <sheetProtection algorithmName="SHA-512" hashValue="U3jd4rbjJ/G37gA4aBl+DdeTrzY6dkSy7wVPjHWsR2ynCUR+XanXVEioOkwKHmsDlU8ECg8Wt0U4bHUwAc4sGQ==" saltValue="yJ8dRau7uwheSEjnq8hGD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F445-3FD9-422D-9915-3141A4DF2D21}">
  <sheetPr>
    <tabColor theme="0" tint="-0.499984740745262"/>
    <pageSetUpPr fitToPage="1"/>
  </sheetPr>
  <dimension ref="A1:I70"/>
  <sheetViews>
    <sheetView topLeftCell="B1" zoomScaleNormal="100" zoomScaleSheetLayoutView="110" workbookViewId="0">
      <selection activeCell="B1" sqref="B1:D1"/>
    </sheetView>
  </sheetViews>
  <sheetFormatPr baseColWidth="10" defaultColWidth="11.42578125" defaultRowHeight="15" x14ac:dyDescent="0.25"/>
  <cols>
    <col min="1" max="1" width="6.85546875" style="163" hidden="1" customWidth="1"/>
    <col min="2" max="2" width="7.7109375" style="3" customWidth="1"/>
    <col min="3" max="3" width="43.85546875" style="164" customWidth="1"/>
    <col min="4" max="4" width="32.42578125" style="161" customWidth="1"/>
    <col min="5" max="5" width="32.42578125" style="594" customWidth="1"/>
    <col min="6" max="6" width="7.28515625" style="159" hidden="1" customWidth="1"/>
    <col min="7" max="7" width="11.42578125" style="160" hidden="1" customWidth="1"/>
    <col min="8" max="8" width="7.140625" style="17" customWidth="1"/>
    <col min="9" max="9" width="40.7109375" style="162" customWidth="1"/>
    <col min="10" max="16384" width="11.42578125" style="17"/>
  </cols>
  <sheetData>
    <row r="1" spans="1:9" ht="24.75" customHeight="1" thickTop="1" thickBot="1" x14ac:dyDescent="0.4">
      <c r="A1" s="18"/>
      <c r="B1" s="660" t="str">
        <f>"SERVICIOS DE PROXIMIDAD  "&amp;LEFT(Baremo!C8,8)</f>
        <v xml:space="preserve">SERVICIOS DE PROXIMIDAD  Linea 3 </v>
      </c>
      <c r="C1" s="661"/>
      <c r="D1" s="661"/>
      <c r="E1" s="574"/>
      <c r="F1" s="554"/>
      <c r="G1" s="554"/>
      <c r="H1" s="554"/>
      <c r="I1" s="573" t="str">
        <f>Baremo!J1</f>
        <v xml:space="preserve">  GDR: JA07  Convocatoria: 2020</v>
      </c>
    </row>
    <row r="2" spans="1:9" ht="16.5" thickTop="1" thickBot="1" x14ac:dyDescent="0.3">
      <c r="A2" s="18"/>
      <c r="B2" s="166" t="str">
        <f>Baremo!B2</f>
        <v>Proyecto:</v>
      </c>
      <c r="C2" s="645" t="str">
        <f>IF(Baremo!C2:I2=0,"",Baremo!C2:I2)</f>
        <v/>
      </c>
      <c r="D2" s="645"/>
      <c r="E2" s="645"/>
      <c r="F2" s="645"/>
      <c r="G2" s="645"/>
      <c r="H2" s="167"/>
      <c r="I2" s="167"/>
    </row>
    <row r="3" spans="1:9" ht="16.5" thickTop="1" thickBot="1" x14ac:dyDescent="0.3">
      <c r="A3" s="18"/>
      <c r="B3" s="168" t="str">
        <f>Baremo!B3</f>
        <v>Solicitante:</v>
      </c>
      <c r="C3" s="646" t="str">
        <f>IF(Baremo!C3:I3=0,"",Baremo!C3:I3)</f>
        <v/>
      </c>
      <c r="D3" s="646"/>
      <c r="E3" s="646"/>
      <c r="F3" s="646"/>
      <c r="G3" s="646"/>
      <c r="H3" s="169"/>
      <c r="I3" s="170"/>
    </row>
    <row r="4" spans="1:9" ht="16.5" thickTop="1" thickBot="1" x14ac:dyDescent="0.3">
      <c r="A4" s="18"/>
      <c r="B4" s="168" t="str">
        <f>Baremo!B4</f>
        <v>Municipio:</v>
      </c>
      <c r="C4" s="646" t="str">
        <f>IF(Baremo!C4:I4=0,"",Baremo!C4:I4)</f>
        <v/>
      </c>
      <c r="D4" s="646"/>
      <c r="E4" s="575"/>
      <c r="F4" s="172"/>
      <c r="G4" s="171"/>
      <c r="H4" s="172"/>
      <c r="I4" s="171"/>
    </row>
    <row r="5" spans="1:9" ht="16.5" thickTop="1" thickBot="1" x14ac:dyDescent="0.3">
      <c r="A5" s="18"/>
      <c r="B5" s="168" t="str">
        <f>Baremo!B5</f>
        <v>Fecha</v>
      </c>
      <c r="C5" s="173">
        <f>IF(Baremo!C5:I5=0,"",Baremo!C5:I5)</f>
        <v>44136</v>
      </c>
      <c r="D5" s="576"/>
      <c r="E5" s="577"/>
      <c r="F5" s="176"/>
      <c r="G5" s="176"/>
      <c r="H5" s="33"/>
      <c r="I5" s="176"/>
    </row>
    <row r="6" spans="1:9" ht="16.5" thickTop="1" thickBot="1" x14ac:dyDescent="0.3">
      <c r="A6" s="18"/>
      <c r="B6" s="177"/>
      <c r="C6" s="178"/>
      <c r="D6" s="578"/>
      <c r="E6" s="579"/>
      <c r="F6" s="52"/>
      <c r="G6" s="52"/>
      <c r="H6" s="181"/>
      <c r="I6" s="182"/>
    </row>
    <row r="7" spans="1:9" s="58" customFormat="1" ht="16.5" thickTop="1" thickBot="1" x14ac:dyDescent="0.3">
      <c r="A7" s="53" t="s">
        <v>339</v>
      </c>
      <c r="B7" s="523"/>
      <c r="C7" s="55"/>
      <c r="D7" s="580"/>
      <c r="E7" s="580"/>
      <c r="F7" s="55"/>
      <c r="G7" s="55"/>
      <c r="H7" s="55"/>
      <c r="I7" s="524"/>
    </row>
    <row r="8" spans="1:9" ht="18.75" x14ac:dyDescent="0.25">
      <c r="A8" s="183" t="s">
        <v>666</v>
      </c>
      <c r="B8" s="184" t="s">
        <v>1179</v>
      </c>
      <c r="C8" s="185"/>
      <c r="D8" s="581"/>
      <c r="E8" s="556"/>
      <c r="F8" s="185"/>
      <c r="G8" s="186"/>
      <c r="H8" s="185"/>
      <c r="I8" s="187"/>
    </row>
    <row r="9" spans="1:9" ht="13.5" customHeight="1" thickBot="1" x14ac:dyDescent="0.3">
      <c r="A9" s="183"/>
      <c r="B9" s="188" t="s">
        <v>1099</v>
      </c>
      <c r="C9" s="189"/>
      <c r="D9" s="582"/>
      <c r="E9" s="583"/>
      <c r="F9" s="190"/>
      <c r="G9" s="191"/>
      <c r="H9" s="192"/>
      <c r="I9" s="193"/>
    </row>
    <row r="10" spans="1:9" x14ac:dyDescent="0.25">
      <c r="A10" s="183" t="s">
        <v>666</v>
      </c>
      <c r="B10" s="647" t="s">
        <v>667</v>
      </c>
      <c r="C10" s="648"/>
      <c r="D10" s="648"/>
      <c r="E10" s="648"/>
      <c r="F10" s="649">
        <f>SUM(F12:F70)</f>
        <v>0</v>
      </c>
      <c r="G10" s="651" t="s">
        <v>129</v>
      </c>
      <c r="H10" s="639" t="s">
        <v>574</v>
      </c>
      <c r="I10" s="641" t="s">
        <v>575</v>
      </c>
    </row>
    <row r="11" spans="1:9" ht="15.75" thickBot="1" x14ac:dyDescent="0.3">
      <c r="A11" s="183" t="s">
        <v>666</v>
      </c>
      <c r="B11" s="194" t="s">
        <v>14</v>
      </c>
      <c r="C11" s="195" t="s">
        <v>668</v>
      </c>
      <c r="D11" s="643" t="s">
        <v>669</v>
      </c>
      <c r="E11" s="643"/>
      <c r="F11" s="650"/>
      <c r="G11" s="652"/>
      <c r="H11" s="640"/>
      <c r="I11" s="642"/>
    </row>
    <row r="12" spans="1:9" s="2" customFormat="1" ht="13.5" thickTop="1" x14ac:dyDescent="0.2">
      <c r="A12" s="183" t="s">
        <v>666</v>
      </c>
      <c r="B12" s="662">
        <v>1</v>
      </c>
      <c r="C12" s="664" t="s">
        <v>670</v>
      </c>
      <c r="D12" s="584" t="s">
        <v>730</v>
      </c>
      <c r="E12" s="585" t="s">
        <v>731</v>
      </c>
      <c r="F12" s="196">
        <f>IF(G12=Listas!$A$3,1,0)</f>
        <v>0</v>
      </c>
      <c r="G12" s="197" t="str">
        <f t="shared" ref="G12:G69" si="0">IF(I12&lt;&gt;"","Si","No")</f>
        <v>No</v>
      </c>
      <c r="H12" s="198" t="str">
        <f t="shared" ref="H12:H69" si="1">IF(G12="Si","X","")</f>
        <v/>
      </c>
      <c r="I12" s="199"/>
    </row>
    <row r="13" spans="1:9" s="2" customFormat="1" ht="12.75" x14ac:dyDescent="0.2">
      <c r="A13" s="183" t="s">
        <v>666</v>
      </c>
      <c r="B13" s="663"/>
      <c r="C13" s="644"/>
      <c r="D13" s="586" t="s">
        <v>732</v>
      </c>
      <c r="E13" s="587" t="s">
        <v>733</v>
      </c>
      <c r="F13" s="200">
        <f>IF(G13=Listas!$A$3,1,0)</f>
        <v>0</v>
      </c>
      <c r="G13" s="201" t="str">
        <f t="shared" si="0"/>
        <v>No</v>
      </c>
      <c r="H13" s="202" t="str">
        <f t="shared" si="1"/>
        <v/>
      </c>
      <c r="I13" s="203"/>
    </row>
    <row r="14" spans="1:9" s="2" customFormat="1" ht="12.75" x14ac:dyDescent="0.2">
      <c r="A14" s="183" t="s">
        <v>666</v>
      </c>
      <c r="B14" s="663"/>
      <c r="C14" s="644"/>
      <c r="D14" s="586" t="s">
        <v>734</v>
      </c>
      <c r="E14" s="587" t="s">
        <v>735</v>
      </c>
      <c r="F14" s="196">
        <f>IF(G14=Listas!$A$3,1,0)</f>
        <v>0</v>
      </c>
      <c r="G14" s="197" t="str">
        <f t="shared" si="0"/>
        <v>No</v>
      </c>
      <c r="H14" s="198" t="str">
        <f t="shared" si="1"/>
        <v/>
      </c>
      <c r="I14" s="203"/>
    </row>
    <row r="15" spans="1:9" s="2" customFormat="1" ht="12.75" x14ac:dyDescent="0.2">
      <c r="A15" s="183" t="s">
        <v>666</v>
      </c>
      <c r="B15" s="663"/>
      <c r="C15" s="644"/>
      <c r="D15" s="586" t="s">
        <v>736</v>
      </c>
      <c r="E15" s="587" t="s">
        <v>737</v>
      </c>
      <c r="F15" s="200">
        <f>IF(G15=Listas!$A$3,1,0)</f>
        <v>0</v>
      </c>
      <c r="G15" s="201" t="str">
        <f t="shared" si="0"/>
        <v>No</v>
      </c>
      <c r="H15" s="202" t="str">
        <f t="shared" si="1"/>
        <v/>
      </c>
      <c r="I15" s="203"/>
    </row>
    <row r="16" spans="1:9" s="2" customFormat="1" ht="22.5" x14ac:dyDescent="0.2">
      <c r="A16" s="183" t="s">
        <v>666</v>
      </c>
      <c r="B16" s="663"/>
      <c r="C16" s="644"/>
      <c r="D16" s="588" t="s">
        <v>738</v>
      </c>
      <c r="E16" s="589" t="s">
        <v>739</v>
      </c>
      <c r="F16" s="196">
        <f>IF(G16=Listas!$A$3,1,0)</f>
        <v>0</v>
      </c>
      <c r="G16" s="197" t="str">
        <f t="shared" si="0"/>
        <v>No</v>
      </c>
      <c r="H16" s="198" t="str">
        <f t="shared" si="1"/>
        <v/>
      </c>
      <c r="I16" s="203"/>
    </row>
    <row r="17" spans="1:9" s="2" customFormat="1" ht="12.75" x14ac:dyDescent="0.2">
      <c r="A17" s="183" t="s">
        <v>666</v>
      </c>
      <c r="B17" s="654">
        <v>2</v>
      </c>
      <c r="C17" s="657" t="s">
        <v>671</v>
      </c>
      <c r="D17" s="600" t="s">
        <v>740</v>
      </c>
      <c r="E17" s="601" t="s">
        <v>741</v>
      </c>
      <c r="F17" s="200">
        <f>IF(G17=Listas!$A$3,1,0)</f>
        <v>0</v>
      </c>
      <c r="G17" s="201" t="str">
        <f t="shared" si="0"/>
        <v>No</v>
      </c>
      <c r="H17" s="202" t="str">
        <f t="shared" si="1"/>
        <v/>
      </c>
      <c r="I17" s="203"/>
    </row>
    <row r="18" spans="1:9" s="2" customFormat="1" ht="12.75" x14ac:dyDescent="0.2">
      <c r="A18" s="183" t="s">
        <v>666</v>
      </c>
      <c r="B18" s="654"/>
      <c r="C18" s="657"/>
      <c r="D18" s="602" t="s">
        <v>742</v>
      </c>
      <c r="E18" s="603" t="s">
        <v>743</v>
      </c>
      <c r="F18" s="196">
        <f>IF(G18=Listas!$A$3,1,0)</f>
        <v>0</v>
      </c>
      <c r="G18" s="197" t="str">
        <f t="shared" si="0"/>
        <v>No</v>
      </c>
      <c r="H18" s="198" t="str">
        <f t="shared" si="1"/>
        <v/>
      </c>
      <c r="I18" s="203"/>
    </row>
    <row r="19" spans="1:9" s="2" customFormat="1" ht="12.75" x14ac:dyDescent="0.2">
      <c r="A19" s="183" t="s">
        <v>666</v>
      </c>
      <c r="B19" s="654"/>
      <c r="C19" s="657"/>
      <c r="D19" s="602" t="s">
        <v>744</v>
      </c>
      <c r="E19" s="603" t="s">
        <v>745</v>
      </c>
      <c r="F19" s="200">
        <f>IF(G19=Listas!$A$3,1,0)</f>
        <v>0</v>
      </c>
      <c r="G19" s="201" t="str">
        <f t="shared" si="0"/>
        <v>No</v>
      </c>
      <c r="H19" s="202" t="str">
        <f t="shared" si="1"/>
        <v/>
      </c>
      <c r="I19" s="203"/>
    </row>
    <row r="20" spans="1:9" s="2" customFormat="1" ht="12.75" x14ac:dyDescent="0.2">
      <c r="A20" s="183" t="s">
        <v>666</v>
      </c>
      <c r="B20" s="654"/>
      <c r="C20" s="657"/>
      <c r="D20" s="602" t="s">
        <v>746</v>
      </c>
      <c r="E20" s="603" t="s">
        <v>747</v>
      </c>
      <c r="F20" s="196">
        <f>IF(G20=Listas!$A$3,1,0)</f>
        <v>0</v>
      </c>
      <c r="G20" s="197" t="str">
        <f t="shared" si="0"/>
        <v>No</v>
      </c>
      <c r="H20" s="198" t="str">
        <f t="shared" si="1"/>
        <v/>
      </c>
      <c r="I20" s="203"/>
    </row>
    <row r="21" spans="1:9" s="2" customFormat="1" ht="12.75" x14ac:dyDescent="0.2">
      <c r="A21" s="183" t="s">
        <v>666</v>
      </c>
      <c r="B21" s="654"/>
      <c r="C21" s="657"/>
      <c r="D21" s="604" t="s">
        <v>748</v>
      </c>
      <c r="E21" s="605" t="s">
        <v>24</v>
      </c>
      <c r="F21" s="200">
        <f>IF(G21=Listas!$A$3,1,0)</f>
        <v>0</v>
      </c>
      <c r="G21" s="201" t="str">
        <f t="shared" si="0"/>
        <v>No</v>
      </c>
      <c r="H21" s="202" t="str">
        <f t="shared" si="1"/>
        <v/>
      </c>
      <c r="I21" s="203"/>
    </row>
    <row r="22" spans="1:9" s="2" customFormat="1" ht="12.75" x14ac:dyDescent="0.2">
      <c r="A22" s="183" t="s">
        <v>666</v>
      </c>
      <c r="B22" s="659">
        <v>3</v>
      </c>
      <c r="C22" s="644" t="s">
        <v>672</v>
      </c>
      <c r="D22" s="590" t="s">
        <v>749</v>
      </c>
      <c r="E22" s="591" t="s">
        <v>750</v>
      </c>
      <c r="F22" s="196">
        <f>IF(G22=Listas!$A$3,1,0)</f>
        <v>0</v>
      </c>
      <c r="G22" s="197" t="str">
        <f t="shared" si="0"/>
        <v>No</v>
      </c>
      <c r="H22" s="198" t="str">
        <f t="shared" si="1"/>
        <v/>
      </c>
      <c r="I22" s="203"/>
    </row>
    <row r="23" spans="1:9" s="2" customFormat="1" ht="12.75" x14ac:dyDescent="0.2">
      <c r="A23" s="183" t="s">
        <v>666</v>
      </c>
      <c r="B23" s="659"/>
      <c r="C23" s="644"/>
      <c r="D23" s="586" t="s">
        <v>751</v>
      </c>
      <c r="E23" s="587" t="s">
        <v>752</v>
      </c>
      <c r="F23" s="200">
        <f>IF(G23=Listas!$A$3,1,0)</f>
        <v>0</v>
      </c>
      <c r="G23" s="201" t="str">
        <f t="shared" si="0"/>
        <v>No</v>
      </c>
      <c r="H23" s="202" t="str">
        <f t="shared" si="1"/>
        <v/>
      </c>
      <c r="I23" s="203"/>
    </row>
    <row r="24" spans="1:9" s="2" customFormat="1" ht="22.5" x14ac:dyDescent="0.2">
      <c r="A24" s="183" t="s">
        <v>666</v>
      </c>
      <c r="B24" s="659"/>
      <c r="C24" s="644"/>
      <c r="D24" s="586" t="s">
        <v>753</v>
      </c>
      <c r="E24" s="587" t="s">
        <v>754</v>
      </c>
      <c r="F24" s="196">
        <f>IF(G24=Listas!$A$3,1,0)</f>
        <v>0</v>
      </c>
      <c r="G24" s="197" t="str">
        <f t="shared" si="0"/>
        <v>No</v>
      </c>
      <c r="H24" s="198" t="str">
        <f t="shared" si="1"/>
        <v/>
      </c>
      <c r="I24" s="203"/>
    </row>
    <row r="25" spans="1:9" s="2" customFormat="1" ht="22.5" x14ac:dyDescent="0.2">
      <c r="A25" s="183" t="s">
        <v>666</v>
      </c>
      <c r="B25" s="659"/>
      <c r="C25" s="644"/>
      <c r="D25" s="588" t="s">
        <v>755</v>
      </c>
      <c r="E25" s="589" t="s">
        <v>24</v>
      </c>
      <c r="F25" s="200">
        <f>IF(G25=Listas!$A$3,1,0)</f>
        <v>0</v>
      </c>
      <c r="G25" s="201" t="str">
        <f t="shared" si="0"/>
        <v>No</v>
      </c>
      <c r="H25" s="202" t="str">
        <f t="shared" si="1"/>
        <v/>
      </c>
      <c r="I25" s="203"/>
    </row>
    <row r="26" spans="1:9" s="2" customFormat="1" ht="12.75" x14ac:dyDescent="0.2">
      <c r="A26" s="183" t="s">
        <v>666</v>
      </c>
      <c r="B26" s="654">
        <v>4</v>
      </c>
      <c r="C26" s="657" t="s">
        <v>673</v>
      </c>
      <c r="D26" s="600" t="s">
        <v>756</v>
      </c>
      <c r="E26" s="601" t="s">
        <v>757</v>
      </c>
      <c r="F26" s="196">
        <f>IF(G26=Listas!$A$3,1,0)</f>
        <v>0</v>
      </c>
      <c r="G26" s="197" t="str">
        <f t="shared" si="0"/>
        <v>No</v>
      </c>
      <c r="H26" s="198" t="str">
        <f t="shared" si="1"/>
        <v/>
      </c>
      <c r="I26" s="203"/>
    </row>
    <row r="27" spans="1:9" s="2" customFormat="1" ht="12.75" x14ac:dyDescent="0.2">
      <c r="A27" s="183" t="s">
        <v>666</v>
      </c>
      <c r="B27" s="654"/>
      <c r="C27" s="657"/>
      <c r="D27" s="602" t="s">
        <v>758</v>
      </c>
      <c r="E27" s="603" t="s">
        <v>759</v>
      </c>
      <c r="F27" s="200">
        <f>IF(G27=Listas!$A$3,1,0)</f>
        <v>0</v>
      </c>
      <c r="G27" s="201" t="str">
        <f t="shared" si="0"/>
        <v>No</v>
      </c>
      <c r="H27" s="202" t="str">
        <f t="shared" si="1"/>
        <v/>
      </c>
      <c r="I27" s="203"/>
    </row>
    <row r="28" spans="1:9" s="2" customFormat="1" ht="12.75" x14ac:dyDescent="0.2">
      <c r="A28" s="183" t="s">
        <v>666</v>
      </c>
      <c r="B28" s="654"/>
      <c r="C28" s="657"/>
      <c r="D28" s="604" t="s">
        <v>760</v>
      </c>
      <c r="E28" s="605" t="s">
        <v>24</v>
      </c>
      <c r="F28" s="196">
        <f>IF(G28=Listas!$A$3,1,0)</f>
        <v>0</v>
      </c>
      <c r="G28" s="197" t="str">
        <f t="shared" si="0"/>
        <v>No</v>
      </c>
      <c r="H28" s="198" t="str">
        <f t="shared" si="1"/>
        <v/>
      </c>
      <c r="I28" s="203"/>
    </row>
    <row r="29" spans="1:9" s="2" customFormat="1" ht="12.75" x14ac:dyDescent="0.2">
      <c r="A29" s="183" t="s">
        <v>666</v>
      </c>
      <c r="B29" s="659">
        <v>5</v>
      </c>
      <c r="C29" s="644" t="s">
        <v>674</v>
      </c>
      <c r="D29" s="590" t="s">
        <v>761</v>
      </c>
      <c r="E29" s="591" t="s">
        <v>762</v>
      </c>
      <c r="F29" s="200">
        <f>IF(G29=Listas!$A$3,1,0)</f>
        <v>0</v>
      </c>
      <c r="G29" s="201" t="str">
        <f t="shared" si="0"/>
        <v>No</v>
      </c>
      <c r="H29" s="202" t="str">
        <f t="shared" si="1"/>
        <v/>
      </c>
      <c r="I29" s="203"/>
    </row>
    <row r="30" spans="1:9" s="2" customFormat="1" ht="12.75" x14ac:dyDescent="0.2">
      <c r="A30" s="183" t="s">
        <v>666</v>
      </c>
      <c r="B30" s="659"/>
      <c r="C30" s="644"/>
      <c r="D30" s="586" t="s">
        <v>763</v>
      </c>
      <c r="E30" s="587" t="s">
        <v>764</v>
      </c>
      <c r="F30" s="196">
        <f>IF(G30=Listas!$A$3,1,0)</f>
        <v>0</v>
      </c>
      <c r="G30" s="197" t="str">
        <f t="shared" si="0"/>
        <v>No</v>
      </c>
      <c r="H30" s="198" t="str">
        <f t="shared" si="1"/>
        <v/>
      </c>
      <c r="I30" s="203"/>
    </row>
    <row r="31" spans="1:9" s="2" customFormat="1" ht="12.75" x14ac:dyDescent="0.2">
      <c r="A31" s="183" t="s">
        <v>666</v>
      </c>
      <c r="B31" s="659"/>
      <c r="C31" s="644"/>
      <c r="D31" s="586" t="s">
        <v>765</v>
      </c>
      <c r="E31" s="587" t="s">
        <v>766</v>
      </c>
      <c r="F31" s="200">
        <f>IF(G31=Listas!$A$3,1,0)</f>
        <v>0</v>
      </c>
      <c r="G31" s="201" t="str">
        <f t="shared" si="0"/>
        <v>No</v>
      </c>
      <c r="H31" s="202" t="str">
        <f t="shared" si="1"/>
        <v/>
      </c>
      <c r="I31" s="203"/>
    </row>
    <row r="32" spans="1:9" s="2" customFormat="1" ht="12.75" x14ac:dyDescent="0.2">
      <c r="A32" s="183" t="s">
        <v>666</v>
      </c>
      <c r="B32" s="659"/>
      <c r="C32" s="644"/>
      <c r="D32" s="586" t="s">
        <v>767</v>
      </c>
      <c r="E32" s="587" t="s">
        <v>768</v>
      </c>
      <c r="F32" s="196">
        <f>IF(G32=Listas!$A$3,1,0)</f>
        <v>0</v>
      </c>
      <c r="G32" s="197" t="str">
        <f t="shared" si="0"/>
        <v>No</v>
      </c>
      <c r="H32" s="198" t="str">
        <f t="shared" si="1"/>
        <v/>
      </c>
      <c r="I32" s="203"/>
    </row>
    <row r="33" spans="1:9" s="2" customFormat="1" ht="12.75" x14ac:dyDescent="0.2">
      <c r="A33" s="183" t="s">
        <v>666</v>
      </c>
      <c r="B33" s="659"/>
      <c r="C33" s="644"/>
      <c r="D33" s="588" t="s">
        <v>769</v>
      </c>
      <c r="E33" s="589" t="s">
        <v>24</v>
      </c>
      <c r="F33" s="200">
        <f>IF(G33=Listas!$A$3,1,0)</f>
        <v>0</v>
      </c>
      <c r="G33" s="201" t="str">
        <f t="shared" si="0"/>
        <v>No</v>
      </c>
      <c r="H33" s="202" t="str">
        <f t="shared" si="1"/>
        <v/>
      </c>
      <c r="I33" s="203"/>
    </row>
    <row r="34" spans="1:9" s="2" customFormat="1" ht="12.75" x14ac:dyDescent="0.2">
      <c r="A34" s="183" t="s">
        <v>666</v>
      </c>
      <c r="B34" s="654">
        <v>6</v>
      </c>
      <c r="C34" s="657" t="s">
        <v>675</v>
      </c>
      <c r="D34" s="600" t="s">
        <v>770</v>
      </c>
      <c r="E34" s="601" t="s">
        <v>771</v>
      </c>
      <c r="F34" s="196">
        <f>IF(G34=Listas!$A$3,1,0)</f>
        <v>0</v>
      </c>
      <c r="G34" s="197" t="str">
        <f t="shared" si="0"/>
        <v>No</v>
      </c>
      <c r="H34" s="198" t="str">
        <f t="shared" si="1"/>
        <v/>
      </c>
      <c r="I34" s="203"/>
    </row>
    <row r="35" spans="1:9" s="2" customFormat="1" ht="12.75" x14ac:dyDescent="0.2">
      <c r="A35" s="183" t="s">
        <v>666</v>
      </c>
      <c r="B35" s="654"/>
      <c r="C35" s="657"/>
      <c r="D35" s="602" t="s">
        <v>772</v>
      </c>
      <c r="E35" s="603" t="s">
        <v>773</v>
      </c>
      <c r="F35" s="200">
        <f>IF(G35=Listas!$A$3,1,0)</f>
        <v>0</v>
      </c>
      <c r="G35" s="201" t="str">
        <f t="shared" si="0"/>
        <v>No</v>
      </c>
      <c r="H35" s="202" t="str">
        <f t="shared" si="1"/>
        <v/>
      </c>
      <c r="I35" s="203"/>
    </row>
    <row r="36" spans="1:9" s="2" customFormat="1" ht="12.75" x14ac:dyDescent="0.2">
      <c r="A36" s="183" t="s">
        <v>666</v>
      </c>
      <c r="B36" s="654"/>
      <c r="C36" s="658"/>
      <c r="D36" s="602" t="s">
        <v>774</v>
      </c>
      <c r="E36" s="603" t="s">
        <v>24</v>
      </c>
      <c r="F36" s="204">
        <f>IF(G36=Listas!$A$3,1,0)</f>
        <v>0</v>
      </c>
      <c r="G36" s="205" t="str">
        <f t="shared" si="0"/>
        <v>No</v>
      </c>
      <c r="H36" s="206" t="str">
        <f t="shared" si="1"/>
        <v/>
      </c>
      <c r="I36" s="207"/>
    </row>
    <row r="37" spans="1:9" s="2" customFormat="1" ht="12.75" x14ac:dyDescent="0.2">
      <c r="A37" s="183" t="s">
        <v>666</v>
      </c>
      <c r="B37" s="659">
        <v>7</v>
      </c>
      <c r="C37" s="644" t="s">
        <v>676</v>
      </c>
      <c r="D37" s="590" t="s">
        <v>775</v>
      </c>
      <c r="E37" s="591" t="s">
        <v>776</v>
      </c>
      <c r="F37" s="200">
        <f>IF(G37=Listas!$A$3,1,0)</f>
        <v>0</v>
      </c>
      <c r="G37" s="201" t="str">
        <f t="shared" si="0"/>
        <v>No</v>
      </c>
      <c r="H37" s="202" t="str">
        <f t="shared" si="1"/>
        <v/>
      </c>
      <c r="I37" s="203"/>
    </row>
    <row r="38" spans="1:9" s="2" customFormat="1" ht="12.75" x14ac:dyDescent="0.2">
      <c r="A38" s="183" t="s">
        <v>666</v>
      </c>
      <c r="B38" s="659"/>
      <c r="C38" s="644"/>
      <c r="D38" s="586" t="s">
        <v>777</v>
      </c>
      <c r="E38" s="587" t="s">
        <v>778</v>
      </c>
      <c r="F38" s="196">
        <f>IF(G38=Listas!$A$3,1,0)</f>
        <v>0</v>
      </c>
      <c r="G38" s="197" t="str">
        <f t="shared" si="0"/>
        <v>No</v>
      </c>
      <c r="H38" s="198" t="str">
        <f t="shared" si="1"/>
        <v/>
      </c>
      <c r="I38" s="203"/>
    </row>
    <row r="39" spans="1:9" s="2" customFormat="1" ht="12.75" x14ac:dyDescent="0.2">
      <c r="A39" s="183" t="s">
        <v>666</v>
      </c>
      <c r="B39" s="659"/>
      <c r="C39" s="644"/>
      <c r="D39" s="588" t="s">
        <v>779</v>
      </c>
      <c r="E39" s="589" t="s">
        <v>780</v>
      </c>
      <c r="F39" s="200">
        <f>IF(G39=Listas!$A$3,1,0)</f>
        <v>0</v>
      </c>
      <c r="G39" s="201" t="str">
        <f t="shared" si="0"/>
        <v>No</v>
      </c>
      <c r="H39" s="202" t="str">
        <f t="shared" si="1"/>
        <v/>
      </c>
      <c r="I39" s="203"/>
    </row>
    <row r="40" spans="1:9" s="2" customFormat="1" ht="12.75" x14ac:dyDescent="0.2">
      <c r="A40" s="183" t="s">
        <v>666</v>
      </c>
      <c r="B40" s="654">
        <v>8</v>
      </c>
      <c r="C40" s="656" t="s">
        <v>677</v>
      </c>
      <c r="D40" s="602" t="s">
        <v>781</v>
      </c>
      <c r="E40" s="603" t="s">
        <v>782</v>
      </c>
      <c r="F40" s="208">
        <f>IF(G40=Listas!$A$3,1,0)</f>
        <v>0</v>
      </c>
      <c r="G40" s="209" t="str">
        <f t="shared" si="0"/>
        <v>No</v>
      </c>
      <c r="H40" s="210" t="str">
        <f t="shared" si="1"/>
        <v/>
      </c>
      <c r="I40" s="199"/>
    </row>
    <row r="41" spans="1:9" s="2" customFormat="1" ht="12.75" x14ac:dyDescent="0.2">
      <c r="A41" s="183" t="s">
        <v>666</v>
      </c>
      <c r="B41" s="654"/>
      <c r="C41" s="657"/>
      <c r="D41" s="602" t="s">
        <v>783</v>
      </c>
      <c r="E41" s="603" t="s">
        <v>784</v>
      </c>
      <c r="F41" s="200">
        <f>IF(G41=Listas!$A$3,1,0)</f>
        <v>0</v>
      </c>
      <c r="G41" s="201" t="str">
        <f t="shared" si="0"/>
        <v>No</v>
      </c>
      <c r="H41" s="202" t="str">
        <f t="shared" si="1"/>
        <v/>
      </c>
      <c r="I41" s="203"/>
    </row>
    <row r="42" spans="1:9" s="2" customFormat="1" ht="12.75" x14ac:dyDescent="0.2">
      <c r="A42" s="183" t="s">
        <v>666</v>
      </c>
      <c r="B42" s="654"/>
      <c r="C42" s="657"/>
      <c r="D42" s="602" t="s">
        <v>785</v>
      </c>
      <c r="E42" s="603" t="s">
        <v>786</v>
      </c>
      <c r="F42" s="196">
        <f>IF(G42=Listas!$A$3,1,0)</f>
        <v>0</v>
      </c>
      <c r="G42" s="197" t="str">
        <f t="shared" si="0"/>
        <v>No</v>
      </c>
      <c r="H42" s="198" t="str">
        <f t="shared" si="1"/>
        <v/>
      </c>
      <c r="I42" s="203"/>
    </row>
    <row r="43" spans="1:9" s="2" customFormat="1" ht="12.75" x14ac:dyDescent="0.2">
      <c r="A43" s="183" t="s">
        <v>666</v>
      </c>
      <c r="B43" s="654"/>
      <c r="C43" s="657"/>
      <c r="D43" s="602" t="s">
        <v>787</v>
      </c>
      <c r="E43" s="603" t="s">
        <v>788</v>
      </c>
      <c r="F43" s="200">
        <f>IF(G43=Listas!$A$3,1,0)</f>
        <v>0</v>
      </c>
      <c r="G43" s="201" t="str">
        <f t="shared" si="0"/>
        <v>No</v>
      </c>
      <c r="H43" s="202" t="str">
        <f t="shared" si="1"/>
        <v/>
      </c>
      <c r="I43" s="203"/>
    </row>
    <row r="44" spans="1:9" s="2" customFormat="1" ht="22.5" x14ac:dyDescent="0.2">
      <c r="A44" s="183" t="s">
        <v>666</v>
      </c>
      <c r="B44" s="654"/>
      <c r="C44" s="657"/>
      <c r="D44" s="602" t="s">
        <v>789</v>
      </c>
      <c r="E44" s="603" t="s">
        <v>790</v>
      </c>
      <c r="F44" s="196">
        <f>IF(G44=Listas!$A$3,1,0)</f>
        <v>0</v>
      </c>
      <c r="G44" s="197" t="str">
        <f t="shared" si="0"/>
        <v>No</v>
      </c>
      <c r="H44" s="198" t="str">
        <f t="shared" si="1"/>
        <v/>
      </c>
      <c r="I44" s="203"/>
    </row>
    <row r="45" spans="1:9" s="2" customFormat="1" ht="12.75" x14ac:dyDescent="0.2">
      <c r="A45" s="183" t="s">
        <v>666</v>
      </c>
      <c r="B45" s="654"/>
      <c r="C45" s="658"/>
      <c r="D45" s="602" t="s">
        <v>791</v>
      </c>
      <c r="E45" s="603" t="s">
        <v>792</v>
      </c>
      <c r="F45" s="211">
        <f>IF(G45=Listas!$A$3,1,0)</f>
        <v>0</v>
      </c>
      <c r="G45" s="212" t="str">
        <f t="shared" si="0"/>
        <v>No</v>
      </c>
      <c r="H45" s="213" t="str">
        <f t="shared" si="1"/>
        <v/>
      </c>
      <c r="I45" s="207"/>
    </row>
    <row r="46" spans="1:9" s="2" customFormat="1" ht="12.75" x14ac:dyDescent="0.2">
      <c r="A46" s="183" t="s">
        <v>666</v>
      </c>
      <c r="B46" s="659">
        <v>9</v>
      </c>
      <c r="C46" s="644" t="s">
        <v>678</v>
      </c>
      <c r="D46" s="590" t="s">
        <v>793</v>
      </c>
      <c r="E46" s="591" t="s">
        <v>794</v>
      </c>
      <c r="F46" s="196">
        <f>IF(G46=Listas!$A$3,1,0)</f>
        <v>0</v>
      </c>
      <c r="G46" s="197" t="str">
        <f t="shared" si="0"/>
        <v>No</v>
      </c>
      <c r="H46" s="198" t="str">
        <f t="shared" si="1"/>
        <v/>
      </c>
      <c r="I46" s="203"/>
    </row>
    <row r="47" spans="1:9" s="2" customFormat="1" ht="12.75" x14ac:dyDescent="0.2">
      <c r="A47" s="183" t="s">
        <v>666</v>
      </c>
      <c r="B47" s="659"/>
      <c r="C47" s="644"/>
      <c r="D47" s="586" t="s">
        <v>795</v>
      </c>
      <c r="E47" s="587" t="s">
        <v>796</v>
      </c>
      <c r="F47" s="200">
        <f>IF(G47=Listas!$A$3,1,0)</f>
        <v>0</v>
      </c>
      <c r="G47" s="201" t="str">
        <f t="shared" si="0"/>
        <v>No</v>
      </c>
      <c r="H47" s="202" t="str">
        <f t="shared" si="1"/>
        <v/>
      </c>
      <c r="I47" s="203"/>
    </row>
    <row r="48" spans="1:9" s="2" customFormat="1" ht="22.5" x14ac:dyDescent="0.2">
      <c r="A48" s="183" t="s">
        <v>666</v>
      </c>
      <c r="B48" s="659"/>
      <c r="C48" s="644"/>
      <c r="D48" s="586" t="s">
        <v>797</v>
      </c>
      <c r="E48" s="587" t="s">
        <v>798</v>
      </c>
      <c r="F48" s="196">
        <f>IF(G48=Listas!$A$3,1,0)</f>
        <v>0</v>
      </c>
      <c r="G48" s="197" t="str">
        <f t="shared" si="0"/>
        <v>No</v>
      </c>
      <c r="H48" s="198" t="str">
        <f t="shared" si="1"/>
        <v/>
      </c>
      <c r="I48" s="203"/>
    </row>
    <row r="49" spans="1:9" s="2" customFormat="1" ht="12.75" x14ac:dyDescent="0.2">
      <c r="A49" s="183" t="s">
        <v>666</v>
      </c>
      <c r="B49" s="659"/>
      <c r="C49" s="644"/>
      <c r="D49" s="586" t="s">
        <v>799</v>
      </c>
      <c r="E49" s="587" t="s">
        <v>800</v>
      </c>
      <c r="F49" s="200">
        <f>IF(G49=Listas!$A$3,1,0)</f>
        <v>0</v>
      </c>
      <c r="G49" s="201" t="str">
        <f t="shared" si="0"/>
        <v>No</v>
      </c>
      <c r="H49" s="202" t="str">
        <f t="shared" si="1"/>
        <v/>
      </c>
      <c r="I49" s="203"/>
    </row>
    <row r="50" spans="1:9" s="2" customFormat="1" ht="12.75" x14ac:dyDescent="0.2">
      <c r="A50" s="183" t="s">
        <v>666</v>
      </c>
      <c r="B50" s="659"/>
      <c r="C50" s="644"/>
      <c r="D50" s="588" t="s">
        <v>801</v>
      </c>
      <c r="E50" s="589" t="s">
        <v>24</v>
      </c>
      <c r="F50" s="196">
        <f>IF(G50=Listas!$A$3,1,0)</f>
        <v>0</v>
      </c>
      <c r="G50" s="197" t="str">
        <f t="shared" si="0"/>
        <v>No</v>
      </c>
      <c r="H50" s="198" t="str">
        <f t="shared" si="1"/>
        <v/>
      </c>
      <c r="I50" s="203"/>
    </row>
    <row r="51" spans="1:9" s="2" customFormat="1" ht="12.75" x14ac:dyDescent="0.2">
      <c r="A51" s="183" t="s">
        <v>666</v>
      </c>
      <c r="B51" s="654">
        <v>10</v>
      </c>
      <c r="C51" s="656" t="s">
        <v>679</v>
      </c>
      <c r="D51" s="602" t="s">
        <v>802</v>
      </c>
      <c r="E51" s="603" t="s">
        <v>803</v>
      </c>
      <c r="F51" s="214">
        <f>IF(G51=Listas!$A$3,1,0)</f>
        <v>0</v>
      </c>
      <c r="G51" s="215" t="str">
        <f t="shared" si="0"/>
        <v>No</v>
      </c>
      <c r="H51" s="216" t="str">
        <f t="shared" si="1"/>
        <v/>
      </c>
      <c r="I51" s="199"/>
    </row>
    <row r="52" spans="1:9" s="2" customFormat="1" ht="12.75" x14ac:dyDescent="0.2">
      <c r="A52" s="183" t="s">
        <v>666</v>
      </c>
      <c r="B52" s="654"/>
      <c r="C52" s="657"/>
      <c r="D52" s="602" t="s">
        <v>804</v>
      </c>
      <c r="E52" s="603" t="s">
        <v>805</v>
      </c>
      <c r="F52" s="196">
        <f>IF(G52=Listas!$A$3,1,0)</f>
        <v>0</v>
      </c>
      <c r="G52" s="197" t="str">
        <f t="shared" si="0"/>
        <v>No</v>
      </c>
      <c r="H52" s="198" t="str">
        <f t="shared" si="1"/>
        <v/>
      </c>
      <c r="I52" s="203"/>
    </row>
    <row r="53" spans="1:9" s="2" customFormat="1" ht="12.75" x14ac:dyDescent="0.2">
      <c r="A53" s="183" t="s">
        <v>666</v>
      </c>
      <c r="B53" s="655"/>
      <c r="C53" s="658"/>
      <c r="D53" s="602" t="s">
        <v>806</v>
      </c>
      <c r="E53" s="603" t="s">
        <v>24</v>
      </c>
      <c r="F53" s="211">
        <f>IF(G53=Listas!$A$3,1,0)</f>
        <v>0</v>
      </c>
      <c r="G53" s="212" t="str">
        <f t="shared" si="0"/>
        <v>No</v>
      </c>
      <c r="H53" s="213" t="str">
        <f t="shared" si="1"/>
        <v/>
      </c>
      <c r="I53" s="207"/>
    </row>
    <row r="54" spans="1:9" s="2" customFormat="1" ht="12.75" x14ac:dyDescent="0.2">
      <c r="A54" s="183" t="s">
        <v>666</v>
      </c>
      <c r="B54" s="659">
        <v>11</v>
      </c>
      <c r="C54" s="644" t="s">
        <v>680</v>
      </c>
      <c r="D54" s="590" t="s">
        <v>807</v>
      </c>
      <c r="E54" s="591" t="s">
        <v>808</v>
      </c>
      <c r="F54" s="196">
        <f>IF(G54=Listas!$A$3,1,0)</f>
        <v>0</v>
      </c>
      <c r="G54" s="197" t="str">
        <f t="shared" si="0"/>
        <v>No</v>
      </c>
      <c r="H54" s="198" t="str">
        <f t="shared" si="1"/>
        <v/>
      </c>
      <c r="I54" s="203"/>
    </row>
    <row r="55" spans="1:9" s="2" customFormat="1" ht="12.75" x14ac:dyDescent="0.2">
      <c r="A55" s="183" t="s">
        <v>666</v>
      </c>
      <c r="B55" s="659"/>
      <c r="C55" s="644"/>
      <c r="D55" s="588" t="s">
        <v>809</v>
      </c>
      <c r="E55" s="589" t="s">
        <v>24</v>
      </c>
      <c r="F55" s="200">
        <f>IF(G55=Listas!$A$3,1,0)</f>
        <v>0</v>
      </c>
      <c r="G55" s="201" t="str">
        <f t="shared" si="0"/>
        <v>No</v>
      </c>
      <c r="H55" s="202" t="str">
        <f t="shared" si="1"/>
        <v/>
      </c>
      <c r="I55" s="203"/>
    </row>
    <row r="56" spans="1:9" s="2" customFormat="1" ht="12.75" x14ac:dyDescent="0.2">
      <c r="A56" s="183" t="s">
        <v>666</v>
      </c>
      <c r="B56" s="653">
        <v>12</v>
      </c>
      <c r="C56" s="656" t="s">
        <v>681</v>
      </c>
      <c r="D56" s="602" t="s">
        <v>810</v>
      </c>
      <c r="E56" s="603" t="s">
        <v>811</v>
      </c>
      <c r="F56" s="208">
        <f>IF(G56=Listas!$A$3,1,0)</f>
        <v>0</v>
      </c>
      <c r="G56" s="209" t="str">
        <f t="shared" si="0"/>
        <v>No</v>
      </c>
      <c r="H56" s="210" t="str">
        <f t="shared" si="1"/>
        <v/>
      </c>
      <c r="I56" s="199"/>
    </row>
    <row r="57" spans="1:9" s="2" customFormat="1" ht="12.75" x14ac:dyDescent="0.2">
      <c r="A57" s="183" t="s">
        <v>666</v>
      </c>
      <c r="B57" s="654"/>
      <c r="C57" s="657"/>
      <c r="D57" s="602" t="s">
        <v>812</v>
      </c>
      <c r="E57" s="603" t="s">
        <v>813</v>
      </c>
      <c r="F57" s="200">
        <f>IF(G57=Listas!$A$3,1,0)</f>
        <v>0</v>
      </c>
      <c r="G57" s="201" t="str">
        <f t="shared" si="0"/>
        <v>No</v>
      </c>
      <c r="H57" s="202" t="str">
        <f t="shared" si="1"/>
        <v/>
      </c>
      <c r="I57" s="203"/>
    </row>
    <row r="58" spans="1:9" s="2" customFormat="1" ht="12.75" x14ac:dyDescent="0.2">
      <c r="A58" s="183" t="s">
        <v>666</v>
      </c>
      <c r="B58" s="654"/>
      <c r="C58" s="657"/>
      <c r="D58" s="602" t="s">
        <v>814</v>
      </c>
      <c r="E58" s="603" t="s">
        <v>815</v>
      </c>
      <c r="F58" s="196">
        <f>IF(G58=Listas!$A$3,1,0)</f>
        <v>0</v>
      </c>
      <c r="G58" s="197" t="str">
        <f t="shared" si="0"/>
        <v>No</v>
      </c>
      <c r="H58" s="198" t="str">
        <f t="shared" si="1"/>
        <v/>
      </c>
      <c r="I58" s="203"/>
    </row>
    <row r="59" spans="1:9" s="2" customFormat="1" ht="12.75" x14ac:dyDescent="0.2">
      <c r="A59" s="183" t="s">
        <v>666</v>
      </c>
      <c r="B59" s="654"/>
      <c r="C59" s="657"/>
      <c r="D59" s="602" t="s">
        <v>816</v>
      </c>
      <c r="E59" s="603" t="s">
        <v>817</v>
      </c>
      <c r="F59" s="200">
        <f>IF(G59=Listas!$A$3,1,0)</f>
        <v>0</v>
      </c>
      <c r="G59" s="201" t="str">
        <f t="shared" si="0"/>
        <v>No</v>
      </c>
      <c r="H59" s="202" t="str">
        <f t="shared" si="1"/>
        <v/>
      </c>
      <c r="I59" s="203"/>
    </row>
    <row r="60" spans="1:9" s="2" customFormat="1" ht="12.75" x14ac:dyDescent="0.2">
      <c r="A60" s="183" t="s">
        <v>666</v>
      </c>
      <c r="B60" s="654"/>
      <c r="C60" s="657"/>
      <c r="D60" s="602" t="s">
        <v>818</v>
      </c>
      <c r="E60" s="603" t="s">
        <v>819</v>
      </c>
      <c r="F60" s="196">
        <f>IF(G60=Listas!$A$3,1,0)</f>
        <v>0</v>
      </c>
      <c r="G60" s="197" t="str">
        <f t="shared" si="0"/>
        <v>No</v>
      </c>
      <c r="H60" s="198" t="str">
        <f t="shared" si="1"/>
        <v/>
      </c>
      <c r="I60" s="203"/>
    </row>
    <row r="61" spans="1:9" s="2" customFormat="1" ht="12.75" x14ac:dyDescent="0.2">
      <c r="A61" s="183" t="s">
        <v>666</v>
      </c>
      <c r="B61" s="654"/>
      <c r="C61" s="657"/>
      <c r="D61" s="602" t="s">
        <v>820</v>
      </c>
      <c r="E61" s="603" t="s">
        <v>821</v>
      </c>
      <c r="F61" s="200">
        <f>IF(G61=Listas!$A$3,1,0)</f>
        <v>0</v>
      </c>
      <c r="G61" s="201" t="str">
        <f t="shared" si="0"/>
        <v>No</v>
      </c>
      <c r="H61" s="202" t="str">
        <f t="shared" si="1"/>
        <v/>
      </c>
      <c r="I61" s="203"/>
    </row>
    <row r="62" spans="1:9" s="2" customFormat="1" ht="12.75" x14ac:dyDescent="0.2">
      <c r="A62" s="183" t="s">
        <v>666</v>
      </c>
      <c r="B62" s="654"/>
      <c r="C62" s="657"/>
      <c r="D62" s="602" t="s">
        <v>822</v>
      </c>
      <c r="E62" s="603" t="s">
        <v>823</v>
      </c>
      <c r="F62" s="196">
        <f>IF(G62=Listas!$A$3,1,0)</f>
        <v>0</v>
      </c>
      <c r="G62" s="197" t="str">
        <f t="shared" si="0"/>
        <v>No</v>
      </c>
      <c r="H62" s="198" t="str">
        <f t="shared" si="1"/>
        <v/>
      </c>
      <c r="I62" s="203"/>
    </row>
    <row r="63" spans="1:9" s="2" customFormat="1" ht="12.75" x14ac:dyDescent="0.2">
      <c r="A63" s="183" t="s">
        <v>666</v>
      </c>
      <c r="B63" s="654"/>
      <c r="C63" s="657"/>
      <c r="D63" s="602" t="s">
        <v>824</v>
      </c>
      <c r="E63" s="603" t="s">
        <v>825</v>
      </c>
      <c r="F63" s="200">
        <f>IF(G63=Listas!$A$3,1,0)</f>
        <v>0</v>
      </c>
      <c r="G63" s="201" t="str">
        <f t="shared" si="0"/>
        <v>No</v>
      </c>
      <c r="H63" s="202" t="str">
        <f t="shared" si="1"/>
        <v/>
      </c>
      <c r="I63" s="203"/>
    </row>
    <row r="64" spans="1:9" s="2" customFormat="1" ht="12.75" x14ac:dyDescent="0.2">
      <c r="A64" s="183" t="s">
        <v>666</v>
      </c>
      <c r="B64" s="654"/>
      <c r="C64" s="657"/>
      <c r="D64" s="602" t="s">
        <v>826</v>
      </c>
      <c r="E64" s="603" t="s">
        <v>827</v>
      </c>
      <c r="F64" s="196">
        <f>IF(G64=Listas!$A$3,1,0)</f>
        <v>0</v>
      </c>
      <c r="G64" s="197" t="str">
        <f t="shared" si="0"/>
        <v>No</v>
      </c>
      <c r="H64" s="198" t="str">
        <f t="shared" si="1"/>
        <v/>
      </c>
      <c r="I64" s="203"/>
    </row>
    <row r="65" spans="1:9" s="2" customFormat="1" ht="12.75" x14ac:dyDescent="0.2">
      <c r="A65" s="183" t="s">
        <v>666</v>
      </c>
      <c r="B65" s="654"/>
      <c r="C65" s="657"/>
      <c r="D65" s="602" t="s">
        <v>828</v>
      </c>
      <c r="E65" s="603" t="s">
        <v>829</v>
      </c>
      <c r="F65" s="200">
        <f>IF(G65=Listas!$A$3,1,0)</f>
        <v>0</v>
      </c>
      <c r="G65" s="201" t="str">
        <f t="shared" si="0"/>
        <v>No</v>
      </c>
      <c r="H65" s="202" t="str">
        <f t="shared" si="1"/>
        <v/>
      </c>
      <c r="I65" s="203"/>
    </row>
    <row r="66" spans="1:9" s="2" customFormat="1" ht="12.75" x14ac:dyDescent="0.2">
      <c r="A66" s="183" t="s">
        <v>666</v>
      </c>
      <c r="B66" s="654"/>
      <c r="C66" s="657"/>
      <c r="D66" s="602" t="s">
        <v>830</v>
      </c>
      <c r="E66" s="603" t="s">
        <v>831</v>
      </c>
      <c r="F66" s="196">
        <f>IF(G66=Listas!$A$3,1,0)</f>
        <v>0</v>
      </c>
      <c r="G66" s="197" t="str">
        <f t="shared" si="0"/>
        <v>No</v>
      </c>
      <c r="H66" s="198" t="str">
        <f t="shared" si="1"/>
        <v/>
      </c>
      <c r="I66" s="203"/>
    </row>
    <row r="67" spans="1:9" s="2" customFormat="1" ht="12.75" x14ac:dyDescent="0.2">
      <c r="A67" s="183" t="s">
        <v>666</v>
      </c>
      <c r="B67" s="654"/>
      <c r="C67" s="657"/>
      <c r="D67" s="602" t="s">
        <v>832</v>
      </c>
      <c r="E67" s="603" t="s">
        <v>833</v>
      </c>
      <c r="F67" s="200">
        <f>IF(G67=Listas!$A$3,1,0)</f>
        <v>0</v>
      </c>
      <c r="G67" s="201" t="str">
        <f t="shared" si="0"/>
        <v>No</v>
      </c>
      <c r="H67" s="202" t="str">
        <f t="shared" si="1"/>
        <v/>
      </c>
      <c r="I67" s="203"/>
    </row>
    <row r="68" spans="1:9" s="2" customFormat="1" ht="12.75" x14ac:dyDescent="0.2">
      <c r="A68" s="183" t="s">
        <v>666</v>
      </c>
      <c r="B68" s="654"/>
      <c r="C68" s="657"/>
      <c r="D68" s="602" t="s">
        <v>834</v>
      </c>
      <c r="E68" s="603" t="s">
        <v>835</v>
      </c>
      <c r="F68" s="196">
        <f>IF(G68=Listas!$A$3,1,0)</f>
        <v>0</v>
      </c>
      <c r="G68" s="197" t="str">
        <f t="shared" si="0"/>
        <v>No</v>
      </c>
      <c r="H68" s="198" t="str">
        <f t="shared" si="1"/>
        <v/>
      </c>
      <c r="I68" s="203"/>
    </row>
    <row r="69" spans="1:9" s="2" customFormat="1" ht="12.75" x14ac:dyDescent="0.2">
      <c r="A69" s="183" t="s">
        <v>666</v>
      </c>
      <c r="B69" s="655"/>
      <c r="C69" s="658"/>
      <c r="D69" s="602" t="s">
        <v>836</v>
      </c>
      <c r="E69" s="606" t="s">
        <v>24</v>
      </c>
      <c r="F69" s="204">
        <f>IF(G69=Listas!$A$3,1,0)</f>
        <v>0</v>
      </c>
      <c r="G69" s="205" t="str">
        <f t="shared" si="0"/>
        <v>No</v>
      </c>
      <c r="H69" s="206" t="str">
        <f t="shared" si="1"/>
        <v/>
      </c>
      <c r="I69" s="207"/>
    </row>
    <row r="70" spans="1:9" s="2" customFormat="1" ht="60" customHeight="1" thickBot="1" x14ac:dyDescent="0.25">
      <c r="A70" s="183" t="s">
        <v>666</v>
      </c>
      <c r="B70" s="607" t="s">
        <v>1149</v>
      </c>
      <c r="C70" s="608" t="s">
        <v>1150</v>
      </c>
      <c r="D70" s="592"/>
      <c r="E70" s="593"/>
      <c r="F70" s="217">
        <f>IF(G70=Listas!$A$3,1,0)</f>
        <v>0</v>
      </c>
      <c r="G70" s="218" t="str">
        <f t="shared" ref="G70" si="2">IF(I70&lt;&gt;"","Si","No")</f>
        <v>No</v>
      </c>
      <c r="H70" s="219" t="str">
        <f t="shared" ref="H70" si="3">IF(G70="Si","X","")</f>
        <v/>
      </c>
      <c r="I70" s="220"/>
    </row>
  </sheetData>
  <sheetProtection algorithmName="SHA-512" hashValue="Oox1B0RulYR57KPyD83I+VnxXBn2HnSARAIiDMduoMqMvw586YpCMOW2oTpOcvOSBnQwnDL+YzjnzVYQgSfqng==" saltValue="aPQiZpF1o2NS/1EAtQX0ew==" spinCount="100000" sheet="1" autoFilter="0"/>
  <autoFilter ref="A7:I69" xr:uid="{8B05247C-138D-4A64-A0F0-DD12BACDBF01}"/>
  <mergeCells count="34">
    <mergeCell ref="B1:D1"/>
    <mergeCell ref="B51:B53"/>
    <mergeCell ref="C51:C53"/>
    <mergeCell ref="B54:B55"/>
    <mergeCell ref="C54:C55"/>
    <mergeCell ref="B26:B28"/>
    <mergeCell ref="C26:C28"/>
    <mergeCell ref="B29:B33"/>
    <mergeCell ref="C29:C33"/>
    <mergeCell ref="B34:B36"/>
    <mergeCell ref="C34:C36"/>
    <mergeCell ref="B12:B16"/>
    <mergeCell ref="C12:C16"/>
    <mergeCell ref="B17:B21"/>
    <mergeCell ref="C17:C21"/>
    <mergeCell ref="B22:B25"/>
    <mergeCell ref="B56:B69"/>
    <mergeCell ref="C56:C69"/>
    <mergeCell ref="B37:B39"/>
    <mergeCell ref="C37:C39"/>
    <mergeCell ref="B40:B45"/>
    <mergeCell ref="C40:C45"/>
    <mergeCell ref="B46:B50"/>
    <mergeCell ref="C46:C50"/>
    <mergeCell ref="H10:H11"/>
    <mergeCell ref="I10:I11"/>
    <mergeCell ref="D11:E11"/>
    <mergeCell ref="C22:C25"/>
    <mergeCell ref="C2:G2"/>
    <mergeCell ref="C3:G3"/>
    <mergeCell ref="C4:D4"/>
    <mergeCell ref="B10:E10"/>
    <mergeCell ref="F10:F11"/>
    <mergeCell ref="G10:G11"/>
  </mergeCells>
  <dataValidations disablePrompts="1" count="1">
    <dataValidation type="date" allowBlank="1" showInputMessage="1" showErrorMessage="1" errorTitle="Fecha no valida" error="Introducir una fecha de la convocatoria 2018" promptTitle="Introducir Fecha" prompt="Convocatoria 2018" sqref="C4:C5" xr:uid="{AB268E73-7C2C-4F6D-A7C0-FF80EDB5F7EB}">
      <formula1>43405</formula1>
      <formula2>43496</formula2>
    </dataValidation>
  </dataValidations>
  <pageMargins left="0.35433070866141736" right="0.15748031496062992" top="1.1417322834645669" bottom="0.78740157480314965" header="0.31496062992125984" footer="0.31496062992125984"/>
  <pageSetup paperSize="9" scale="60"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Elegir valor de la lista" prompt="Municipio o Comarcca" xr:uid="{6FD8FF7C-FC12-4F81-9000-9F6A983731A7}">
          <x14:formula1>
            <xm:f>Listas!$A$11:$A$21</xm:f>
          </x14:formula1>
          <xm:sqref>C3:D3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84C0-F47F-4BF8-806B-9C284340534D}">
  <sheetPr>
    <tabColor theme="0" tint="-0.499984740745262"/>
    <pageSetUpPr fitToPage="1"/>
  </sheetPr>
  <dimension ref="A1:I86"/>
  <sheetViews>
    <sheetView topLeftCell="B4" zoomScaleNormal="100" zoomScaleSheetLayoutView="110" workbookViewId="0">
      <selection activeCell="J13" sqref="J13"/>
    </sheetView>
  </sheetViews>
  <sheetFormatPr baseColWidth="10" defaultColWidth="11.42578125" defaultRowHeight="15" x14ac:dyDescent="0.25"/>
  <cols>
    <col min="1" max="1" width="6.85546875" style="163" hidden="1" customWidth="1"/>
    <col min="2" max="2" width="7.7109375" style="3" customWidth="1"/>
    <col min="3" max="3" width="42" style="164" customWidth="1"/>
    <col min="4" max="4" width="41.5703125" style="161" customWidth="1"/>
    <col min="5" max="5" width="26.85546875" style="562" customWidth="1"/>
    <col min="6" max="6" width="9" style="159" hidden="1" customWidth="1"/>
    <col min="7" max="7" width="11.42578125" style="160" hidden="1" customWidth="1"/>
    <col min="8" max="8" width="8.42578125" style="17" customWidth="1"/>
    <col min="9" max="9" width="40.7109375" style="162" customWidth="1"/>
    <col min="10" max="16384" width="11.42578125" style="17"/>
  </cols>
  <sheetData>
    <row r="1" spans="1:9" ht="24.75" customHeight="1" thickTop="1" thickBot="1" x14ac:dyDescent="0.4">
      <c r="A1" s="18"/>
      <c r="B1" s="660" t="str">
        <f>"ELEMENTOS INNOVADORES  "&amp;LEFT(Baremo!C8,8)</f>
        <v xml:space="preserve">ELEMENTOS INNOVADORES  Linea 3 </v>
      </c>
      <c r="C1" s="661"/>
      <c r="D1" s="661"/>
      <c r="E1" s="685"/>
      <c r="F1" s="415"/>
      <c r="G1" s="415"/>
      <c r="H1" s="415"/>
      <c r="I1" s="571" t="str">
        <f>Baremo!J1</f>
        <v xml:space="preserve">  GDR: JA07  Convocatoria: 2020</v>
      </c>
    </row>
    <row r="2" spans="1:9" ht="16.5" thickTop="1" thickBot="1" x14ac:dyDescent="0.3">
      <c r="A2" s="18"/>
      <c r="B2" s="166" t="str">
        <f>Baremo!B2</f>
        <v>Proyecto:</v>
      </c>
      <c r="C2" s="645" t="str">
        <f>IF(Baremo!C2:I2=0,"",Baremo!C2:I2)</f>
        <v/>
      </c>
      <c r="D2" s="645"/>
      <c r="E2" s="645"/>
      <c r="F2" s="645"/>
      <c r="G2" s="645"/>
      <c r="H2" s="167"/>
      <c r="I2" s="167"/>
    </row>
    <row r="3" spans="1:9" ht="16.5" thickTop="1" thickBot="1" x14ac:dyDescent="0.3">
      <c r="A3" s="18"/>
      <c r="B3" s="168" t="str">
        <f>Baremo!B3</f>
        <v>Solicitante:</v>
      </c>
      <c r="C3" s="646" t="str">
        <f>IF(Baremo!C3:I3=0,"",Baremo!C3:I3)</f>
        <v/>
      </c>
      <c r="D3" s="646"/>
      <c r="E3" s="646"/>
      <c r="F3" s="646"/>
      <c r="G3" s="646"/>
      <c r="H3" s="169"/>
      <c r="I3" s="170"/>
    </row>
    <row r="4" spans="1:9" ht="16.5" thickTop="1" thickBot="1" x14ac:dyDescent="0.3">
      <c r="A4" s="18"/>
      <c r="B4" s="168" t="str">
        <f>Baremo!B4</f>
        <v>Municipio:</v>
      </c>
      <c r="C4" s="646" t="str">
        <f>IF(Baremo!C4:I4=0,"",Baremo!C4:I4)</f>
        <v/>
      </c>
      <c r="D4" s="646"/>
      <c r="E4" s="555"/>
      <c r="F4" s="172"/>
      <c r="G4" s="171"/>
      <c r="H4" s="172"/>
      <c r="I4" s="171"/>
    </row>
    <row r="5" spans="1:9" ht="16.5" thickTop="1" thickBot="1" x14ac:dyDescent="0.3">
      <c r="A5" s="18"/>
      <c r="B5" s="168" t="str">
        <f>Baremo!B5</f>
        <v>Fecha</v>
      </c>
      <c r="C5" s="173">
        <f>IF(Baremo!C5:I5=0,"",Baremo!C5:I5)</f>
        <v>44136</v>
      </c>
      <c r="D5" s="170"/>
      <c r="E5" s="176"/>
      <c r="F5" s="176"/>
      <c r="G5" s="176"/>
      <c r="H5" s="33"/>
      <c r="I5" s="176"/>
    </row>
    <row r="6" spans="1:9" ht="16.5" thickTop="1" thickBot="1" x14ac:dyDescent="0.3">
      <c r="A6" s="18"/>
      <c r="B6" s="177"/>
      <c r="C6" s="178"/>
      <c r="D6" s="564"/>
      <c r="E6" s="52"/>
      <c r="F6" s="52"/>
      <c r="G6" s="52"/>
      <c r="H6" s="181"/>
      <c r="I6" s="527"/>
    </row>
    <row r="7" spans="1:9" s="58" customFormat="1" ht="16.5" thickTop="1" thickBot="1" x14ac:dyDescent="0.3">
      <c r="A7" s="525" t="s">
        <v>339</v>
      </c>
      <c r="B7" s="523"/>
      <c r="C7" s="55"/>
      <c r="D7" s="55"/>
      <c r="E7" s="55"/>
      <c r="F7" s="55"/>
      <c r="G7" s="55"/>
      <c r="H7" s="55"/>
      <c r="I7" s="526"/>
    </row>
    <row r="8" spans="1:9" ht="18.75" x14ac:dyDescent="0.25">
      <c r="A8" s="221" t="s">
        <v>573</v>
      </c>
      <c r="B8" s="184" t="s">
        <v>1096</v>
      </c>
      <c r="C8" s="222"/>
      <c r="D8" s="565"/>
      <c r="E8" s="556"/>
      <c r="F8" s="222"/>
      <c r="G8" s="223"/>
      <c r="H8" s="224"/>
      <c r="I8" s="225"/>
    </row>
    <row r="9" spans="1:9" ht="15.75" thickBot="1" x14ac:dyDescent="0.3">
      <c r="A9" s="226" t="s">
        <v>573</v>
      </c>
      <c r="B9" s="188" t="s">
        <v>1100</v>
      </c>
      <c r="C9" s="227"/>
      <c r="D9" s="566"/>
      <c r="E9" s="557"/>
      <c r="F9" s="228"/>
      <c r="G9" s="229"/>
      <c r="H9" s="192"/>
      <c r="I9" s="193"/>
    </row>
    <row r="10" spans="1:9" x14ac:dyDescent="0.25">
      <c r="A10" s="183" t="s">
        <v>573</v>
      </c>
      <c r="B10" s="677" t="s">
        <v>1098</v>
      </c>
      <c r="C10" s="678"/>
      <c r="D10" s="678"/>
      <c r="E10" s="678"/>
      <c r="F10" s="230">
        <f>SUM(F12:F36)</f>
        <v>0</v>
      </c>
      <c r="G10" s="679" t="s">
        <v>129</v>
      </c>
      <c r="H10" s="665" t="s">
        <v>574</v>
      </c>
      <c r="I10" s="667" t="s">
        <v>575</v>
      </c>
    </row>
    <row r="11" spans="1:9" x14ac:dyDescent="0.25">
      <c r="A11" s="183"/>
      <c r="B11" s="231" t="s">
        <v>14</v>
      </c>
      <c r="C11" s="232" t="s">
        <v>1178</v>
      </c>
      <c r="D11" s="567" t="s">
        <v>576</v>
      </c>
      <c r="E11" s="669" t="s">
        <v>577</v>
      </c>
      <c r="F11" s="670"/>
      <c r="G11" s="680"/>
      <c r="H11" s="666"/>
      <c r="I11" s="668"/>
    </row>
    <row r="12" spans="1:9" s="2" customFormat="1" ht="67.5" x14ac:dyDescent="0.2">
      <c r="A12" s="183" t="s">
        <v>573</v>
      </c>
      <c r="B12" s="233" t="s">
        <v>130</v>
      </c>
      <c r="C12" s="234" t="s">
        <v>682</v>
      </c>
      <c r="D12" s="558" t="s">
        <v>1153</v>
      </c>
      <c r="E12" s="558" t="s">
        <v>705</v>
      </c>
      <c r="F12" s="235">
        <f>IF(G12="Si",1,0)</f>
        <v>0</v>
      </c>
      <c r="G12" s="236" t="str">
        <f t="shared" ref="G12:G36" si="0">IF(I12&lt;&gt;"","Si","No")</f>
        <v>No</v>
      </c>
      <c r="H12" s="237" t="str">
        <f>IF(G12="Si","X","")</f>
        <v/>
      </c>
      <c r="I12" s="203"/>
    </row>
    <row r="13" spans="1:9" s="2" customFormat="1" ht="67.5" x14ac:dyDescent="0.2">
      <c r="A13" s="183" t="s">
        <v>573</v>
      </c>
      <c r="B13" s="238" t="s">
        <v>131</v>
      </c>
      <c r="C13" s="239" t="s">
        <v>683</v>
      </c>
      <c r="D13" s="559" t="s">
        <v>1154</v>
      </c>
      <c r="E13" s="559" t="s">
        <v>706</v>
      </c>
      <c r="F13" s="240">
        <f t="shared" ref="F13:F36" si="1">IF(G13="Si",1,0)</f>
        <v>0</v>
      </c>
      <c r="G13" s="241" t="str">
        <f t="shared" si="0"/>
        <v>No</v>
      </c>
      <c r="H13" s="242" t="str">
        <f t="shared" ref="H13:H36" si="2">IF(G13="Si","X","")</f>
        <v/>
      </c>
      <c r="I13" s="203"/>
    </row>
    <row r="14" spans="1:9" s="2" customFormat="1" ht="56.25" x14ac:dyDescent="0.2">
      <c r="A14" s="183" t="s">
        <v>573</v>
      </c>
      <c r="B14" s="233" t="s">
        <v>132</v>
      </c>
      <c r="C14" s="234" t="s">
        <v>684</v>
      </c>
      <c r="D14" s="558" t="s">
        <v>1155</v>
      </c>
      <c r="E14" s="558" t="s">
        <v>707</v>
      </c>
      <c r="F14" s="235">
        <f t="shared" si="1"/>
        <v>0</v>
      </c>
      <c r="G14" s="236" t="str">
        <f t="shared" si="0"/>
        <v>No</v>
      </c>
      <c r="H14" s="237" t="str">
        <f t="shared" si="2"/>
        <v/>
      </c>
      <c r="I14" s="203"/>
    </row>
    <row r="15" spans="1:9" s="2" customFormat="1" ht="90" x14ac:dyDescent="0.2">
      <c r="A15" s="183" t="s">
        <v>573</v>
      </c>
      <c r="B15" s="238" t="s">
        <v>133</v>
      </c>
      <c r="C15" s="239" t="s">
        <v>685</v>
      </c>
      <c r="D15" s="559" t="s">
        <v>1156</v>
      </c>
      <c r="E15" s="559" t="s">
        <v>708</v>
      </c>
      <c r="F15" s="240">
        <f t="shared" si="1"/>
        <v>0</v>
      </c>
      <c r="G15" s="241" t="str">
        <f t="shared" si="0"/>
        <v>No</v>
      </c>
      <c r="H15" s="242" t="str">
        <f t="shared" si="2"/>
        <v/>
      </c>
      <c r="I15" s="203"/>
    </row>
    <row r="16" spans="1:9" s="2" customFormat="1" ht="90" x14ac:dyDescent="0.2">
      <c r="A16" s="183" t="s">
        <v>573</v>
      </c>
      <c r="B16" s="233" t="s">
        <v>134</v>
      </c>
      <c r="C16" s="234" t="s">
        <v>686</v>
      </c>
      <c r="D16" s="558" t="s">
        <v>1157</v>
      </c>
      <c r="E16" s="558" t="s">
        <v>709</v>
      </c>
      <c r="F16" s="235">
        <f t="shared" si="1"/>
        <v>0</v>
      </c>
      <c r="G16" s="236" t="str">
        <f t="shared" si="0"/>
        <v>No</v>
      </c>
      <c r="H16" s="237" t="str">
        <f t="shared" si="2"/>
        <v/>
      </c>
      <c r="I16" s="203"/>
    </row>
    <row r="17" spans="1:9" s="2" customFormat="1" ht="101.25" x14ac:dyDescent="0.2">
      <c r="A17" s="183" t="s">
        <v>573</v>
      </c>
      <c r="B17" s="238" t="s">
        <v>135</v>
      </c>
      <c r="C17" s="239" t="s">
        <v>687</v>
      </c>
      <c r="D17" s="559" t="s">
        <v>1158</v>
      </c>
      <c r="E17" s="559" t="s">
        <v>710</v>
      </c>
      <c r="F17" s="240">
        <f t="shared" si="1"/>
        <v>0</v>
      </c>
      <c r="G17" s="241" t="str">
        <f t="shared" si="0"/>
        <v>No</v>
      </c>
      <c r="H17" s="242" t="str">
        <f t="shared" si="2"/>
        <v/>
      </c>
      <c r="I17" s="203"/>
    </row>
    <row r="18" spans="1:9" s="2" customFormat="1" ht="90" x14ac:dyDescent="0.2">
      <c r="A18" s="183" t="s">
        <v>573</v>
      </c>
      <c r="B18" s="233" t="s">
        <v>136</v>
      </c>
      <c r="C18" s="234" t="s">
        <v>688</v>
      </c>
      <c r="D18" s="558" t="s">
        <v>1159</v>
      </c>
      <c r="E18" s="558" t="s">
        <v>711</v>
      </c>
      <c r="F18" s="235">
        <f t="shared" si="1"/>
        <v>0</v>
      </c>
      <c r="G18" s="236" t="str">
        <f t="shared" si="0"/>
        <v>No</v>
      </c>
      <c r="H18" s="237" t="str">
        <f t="shared" si="2"/>
        <v/>
      </c>
      <c r="I18" s="203"/>
    </row>
    <row r="19" spans="1:9" s="2" customFormat="1" ht="101.25" x14ac:dyDescent="0.2">
      <c r="A19" s="183" t="s">
        <v>573</v>
      </c>
      <c r="B19" s="238" t="s">
        <v>137</v>
      </c>
      <c r="C19" s="239" t="s">
        <v>689</v>
      </c>
      <c r="D19" s="559" t="s">
        <v>1160</v>
      </c>
      <c r="E19" s="559" t="s">
        <v>712</v>
      </c>
      <c r="F19" s="240">
        <f t="shared" si="1"/>
        <v>0</v>
      </c>
      <c r="G19" s="241" t="str">
        <f t="shared" si="0"/>
        <v>No</v>
      </c>
      <c r="H19" s="242" t="str">
        <f t="shared" si="2"/>
        <v/>
      </c>
      <c r="I19" s="203"/>
    </row>
    <row r="20" spans="1:9" s="2" customFormat="1" ht="56.25" x14ac:dyDescent="0.2">
      <c r="A20" s="183" t="s">
        <v>573</v>
      </c>
      <c r="B20" s="233" t="s">
        <v>138</v>
      </c>
      <c r="C20" s="234" t="s">
        <v>690</v>
      </c>
      <c r="D20" s="558" t="s">
        <v>1161</v>
      </c>
      <c r="E20" s="558" t="s">
        <v>713</v>
      </c>
      <c r="F20" s="235">
        <f t="shared" si="1"/>
        <v>0</v>
      </c>
      <c r="G20" s="236" t="str">
        <f t="shared" si="0"/>
        <v>No</v>
      </c>
      <c r="H20" s="237" t="str">
        <f t="shared" si="2"/>
        <v/>
      </c>
      <c r="I20" s="203"/>
    </row>
    <row r="21" spans="1:9" s="2" customFormat="1" ht="90" x14ac:dyDescent="0.2">
      <c r="A21" s="183" t="s">
        <v>573</v>
      </c>
      <c r="B21" s="238" t="s">
        <v>139</v>
      </c>
      <c r="C21" s="239" t="s">
        <v>691</v>
      </c>
      <c r="D21" s="559" t="s">
        <v>1162</v>
      </c>
      <c r="E21" s="559" t="s">
        <v>714</v>
      </c>
      <c r="F21" s="240">
        <f t="shared" si="1"/>
        <v>0</v>
      </c>
      <c r="G21" s="241" t="str">
        <f t="shared" si="0"/>
        <v>No</v>
      </c>
      <c r="H21" s="242" t="str">
        <f t="shared" si="2"/>
        <v/>
      </c>
      <c r="I21" s="203"/>
    </row>
    <row r="22" spans="1:9" s="2" customFormat="1" ht="78.75" x14ac:dyDescent="0.2">
      <c r="A22" s="183" t="s">
        <v>573</v>
      </c>
      <c r="B22" s="233" t="s">
        <v>140</v>
      </c>
      <c r="C22" s="234" t="s">
        <v>692</v>
      </c>
      <c r="D22" s="558" t="s">
        <v>1163</v>
      </c>
      <c r="E22" s="558" t="s">
        <v>715</v>
      </c>
      <c r="F22" s="235">
        <f t="shared" si="1"/>
        <v>0</v>
      </c>
      <c r="G22" s="236" t="str">
        <f t="shared" si="0"/>
        <v>No</v>
      </c>
      <c r="H22" s="237" t="str">
        <f t="shared" si="2"/>
        <v/>
      </c>
      <c r="I22" s="203"/>
    </row>
    <row r="23" spans="1:9" s="2" customFormat="1" ht="90" x14ac:dyDescent="0.2">
      <c r="A23" s="183" t="s">
        <v>573</v>
      </c>
      <c r="B23" s="238" t="s">
        <v>141</v>
      </c>
      <c r="C23" s="239" t="s">
        <v>693</v>
      </c>
      <c r="D23" s="559" t="s">
        <v>1164</v>
      </c>
      <c r="E23" s="559" t="s">
        <v>716</v>
      </c>
      <c r="F23" s="240">
        <f t="shared" si="1"/>
        <v>0</v>
      </c>
      <c r="G23" s="241" t="str">
        <f t="shared" si="0"/>
        <v>No</v>
      </c>
      <c r="H23" s="242" t="str">
        <f t="shared" si="2"/>
        <v/>
      </c>
      <c r="I23" s="203"/>
    </row>
    <row r="24" spans="1:9" s="2" customFormat="1" ht="78.75" x14ac:dyDescent="0.2">
      <c r="A24" s="183" t="s">
        <v>573</v>
      </c>
      <c r="B24" s="233" t="s">
        <v>142</v>
      </c>
      <c r="C24" s="234" t="s">
        <v>694</v>
      </c>
      <c r="D24" s="558" t="s">
        <v>1165</v>
      </c>
      <c r="E24" s="558" t="s">
        <v>717</v>
      </c>
      <c r="F24" s="235">
        <f t="shared" si="1"/>
        <v>0</v>
      </c>
      <c r="G24" s="236" t="str">
        <f t="shared" si="0"/>
        <v>No</v>
      </c>
      <c r="H24" s="237" t="str">
        <f t="shared" si="2"/>
        <v/>
      </c>
      <c r="I24" s="203"/>
    </row>
    <row r="25" spans="1:9" s="2" customFormat="1" ht="101.25" x14ac:dyDescent="0.2">
      <c r="A25" s="183" t="s">
        <v>573</v>
      </c>
      <c r="B25" s="238" t="s">
        <v>143</v>
      </c>
      <c r="C25" s="239" t="s">
        <v>695</v>
      </c>
      <c r="D25" s="559" t="s">
        <v>1166</v>
      </c>
      <c r="E25" s="559" t="s">
        <v>718</v>
      </c>
      <c r="F25" s="240">
        <f t="shared" si="1"/>
        <v>0</v>
      </c>
      <c r="G25" s="241" t="str">
        <f t="shared" si="0"/>
        <v>No</v>
      </c>
      <c r="H25" s="242" t="str">
        <f t="shared" si="2"/>
        <v/>
      </c>
      <c r="I25" s="203"/>
    </row>
    <row r="26" spans="1:9" s="2" customFormat="1" ht="45" x14ac:dyDescent="0.2">
      <c r="A26" s="183" t="s">
        <v>573</v>
      </c>
      <c r="B26" s="233" t="s">
        <v>144</v>
      </c>
      <c r="C26" s="234" t="s">
        <v>696</v>
      </c>
      <c r="D26" s="558" t="s">
        <v>1167</v>
      </c>
      <c r="E26" s="558" t="s">
        <v>719</v>
      </c>
      <c r="F26" s="235">
        <f t="shared" si="1"/>
        <v>0</v>
      </c>
      <c r="G26" s="236" t="str">
        <f t="shared" si="0"/>
        <v>No</v>
      </c>
      <c r="H26" s="237" t="str">
        <f t="shared" si="2"/>
        <v/>
      </c>
      <c r="I26" s="203"/>
    </row>
    <row r="27" spans="1:9" s="2" customFormat="1" ht="90" x14ac:dyDescent="0.2">
      <c r="A27" s="183" t="s">
        <v>573</v>
      </c>
      <c r="B27" s="238" t="s">
        <v>145</v>
      </c>
      <c r="C27" s="239" t="s">
        <v>697</v>
      </c>
      <c r="D27" s="559" t="s">
        <v>1168</v>
      </c>
      <c r="E27" s="559" t="s">
        <v>720</v>
      </c>
      <c r="F27" s="240">
        <f t="shared" si="1"/>
        <v>0</v>
      </c>
      <c r="G27" s="241" t="str">
        <f t="shared" si="0"/>
        <v>No</v>
      </c>
      <c r="H27" s="242" t="str">
        <f t="shared" si="2"/>
        <v/>
      </c>
      <c r="I27" s="203"/>
    </row>
    <row r="28" spans="1:9" s="2" customFormat="1" ht="78.75" x14ac:dyDescent="0.2">
      <c r="A28" s="183" t="s">
        <v>573</v>
      </c>
      <c r="B28" s="233" t="s">
        <v>146</v>
      </c>
      <c r="C28" s="234" t="s">
        <v>698</v>
      </c>
      <c r="D28" s="558" t="s">
        <v>1169</v>
      </c>
      <c r="E28" s="558" t="s">
        <v>721</v>
      </c>
      <c r="F28" s="235">
        <f t="shared" si="1"/>
        <v>0</v>
      </c>
      <c r="G28" s="236" t="str">
        <f t="shared" si="0"/>
        <v>No</v>
      </c>
      <c r="H28" s="237" t="str">
        <f t="shared" si="2"/>
        <v/>
      </c>
      <c r="I28" s="203"/>
    </row>
    <row r="29" spans="1:9" s="2" customFormat="1" ht="90" x14ac:dyDescent="0.2">
      <c r="A29" s="183" t="s">
        <v>573</v>
      </c>
      <c r="B29" s="238" t="s">
        <v>147</v>
      </c>
      <c r="C29" s="239" t="s">
        <v>699</v>
      </c>
      <c r="D29" s="559" t="s">
        <v>1170</v>
      </c>
      <c r="E29" s="559" t="s">
        <v>722</v>
      </c>
      <c r="F29" s="240">
        <f t="shared" si="1"/>
        <v>0</v>
      </c>
      <c r="G29" s="241" t="str">
        <f t="shared" si="0"/>
        <v>No</v>
      </c>
      <c r="H29" s="242" t="str">
        <f t="shared" si="2"/>
        <v/>
      </c>
      <c r="I29" s="203"/>
    </row>
    <row r="30" spans="1:9" s="2" customFormat="1" ht="90" x14ac:dyDescent="0.2">
      <c r="A30" s="183" t="s">
        <v>573</v>
      </c>
      <c r="B30" s="233" t="s">
        <v>148</v>
      </c>
      <c r="C30" s="234" t="s">
        <v>700</v>
      </c>
      <c r="D30" s="558" t="s">
        <v>1171</v>
      </c>
      <c r="E30" s="558" t="s">
        <v>723</v>
      </c>
      <c r="F30" s="235">
        <f t="shared" si="1"/>
        <v>0</v>
      </c>
      <c r="G30" s="236" t="str">
        <f t="shared" si="0"/>
        <v>No</v>
      </c>
      <c r="H30" s="237" t="str">
        <f t="shared" si="2"/>
        <v/>
      </c>
      <c r="I30" s="203"/>
    </row>
    <row r="31" spans="1:9" s="2" customFormat="1" ht="90" x14ac:dyDescent="0.2">
      <c r="A31" s="183" t="s">
        <v>573</v>
      </c>
      <c r="B31" s="238" t="s">
        <v>149</v>
      </c>
      <c r="C31" s="239" t="s">
        <v>701</v>
      </c>
      <c r="D31" s="559" t="s">
        <v>1172</v>
      </c>
      <c r="E31" s="559" t="s">
        <v>724</v>
      </c>
      <c r="F31" s="240">
        <f t="shared" si="1"/>
        <v>0</v>
      </c>
      <c r="G31" s="241" t="str">
        <f t="shared" si="0"/>
        <v>No</v>
      </c>
      <c r="H31" s="242" t="str">
        <f t="shared" si="2"/>
        <v/>
      </c>
      <c r="I31" s="203"/>
    </row>
    <row r="32" spans="1:9" s="2" customFormat="1" ht="90" x14ac:dyDescent="0.2">
      <c r="A32" s="183" t="s">
        <v>573</v>
      </c>
      <c r="B32" s="233" t="s">
        <v>150</v>
      </c>
      <c r="C32" s="234" t="s">
        <v>702</v>
      </c>
      <c r="D32" s="558" t="s">
        <v>1173</v>
      </c>
      <c r="E32" s="558" t="s">
        <v>725</v>
      </c>
      <c r="F32" s="235">
        <f t="shared" si="1"/>
        <v>0</v>
      </c>
      <c r="G32" s="236" t="str">
        <f t="shared" si="0"/>
        <v>No</v>
      </c>
      <c r="H32" s="237" t="str">
        <f t="shared" si="2"/>
        <v/>
      </c>
      <c r="I32" s="203"/>
    </row>
    <row r="33" spans="1:9" s="2" customFormat="1" ht="78.75" x14ac:dyDescent="0.2">
      <c r="A33" s="183" t="s">
        <v>573</v>
      </c>
      <c r="B33" s="238" t="s">
        <v>151</v>
      </c>
      <c r="C33" s="239" t="s">
        <v>703</v>
      </c>
      <c r="D33" s="559" t="s">
        <v>1174</v>
      </c>
      <c r="E33" s="559" t="s">
        <v>726</v>
      </c>
      <c r="F33" s="240">
        <f t="shared" si="1"/>
        <v>0</v>
      </c>
      <c r="G33" s="241" t="str">
        <f t="shared" si="0"/>
        <v>No</v>
      </c>
      <c r="H33" s="242" t="str">
        <f t="shared" si="2"/>
        <v/>
      </c>
      <c r="I33" s="203"/>
    </row>
    <row r="34" spans="1:9" s="2" customFormat="1" ht="90" x14ac:dyDescent="0.2">
      <c r="A34" s="183" t="s">
        <v>573</v>
      </c>
      <c r="B34" s="233" t="s">
        <v>152</v>
      </c>
      <c r="C34" s="234" t="s">
        <v>704</v>
      </c>
      <c r="D34" s="558" t="s">
        <v>1175</v>
      </c>
      <c r="E34" s="558" t="s">
        <v>727</v>
      </c>
      <c r="F34" s="235">
        <f t="shared" si="1"/>
        <v>0</v>
      </c>
      <c r="G34" s="236" t="str">
        <f t="shared" si="0"/>
        <v>No</v>
      </c>
      <c r="H34" s="237" t="str">
        <f t="shared" si="2"/>
        <v/>
      </c>
      <c r="I34" s="203"/>
    </row>
    <row r="35" spans="1:9" s="2" customFormat="1" ht="101.25" x14ac:dyDescent="0.2">
      <c r="A35" s="183" t="s">
        <v>573</v>
      </c>
      <c r="B35" s="238" t="s">
        <v>153</v>
      </c>
      <c r="C35" s="239" t="s">
        <v>578</v>
      </c>
      <c r="D35" s="559" t="s">
        <v>1176</v>
      </c>
      <c r="E35" s="559" t="s">
        <v>728</v>
      </c>
      <c r="F35" s="240">
        <f t="shared" si="1"/>
        <v>0</v>
      </c>
      <c r="G35" s="241" t="str">
        <f t="shared" si="0"/>
        <v>No</v>
      </c>
      <c r="H35" s="242" t="str">
        <f t="shared" si="2"/>
        <v/>
      </c>
      <c r="I35" s="203"/>
    </row>
    <row r="36" spans="1:9" s="2" customFormat="1" ht="79.5" thickBot="1" x14ac:dyDescent="0.25">
      <c r="A36" s="183" t="s">
        <v>573</v>
      </c>
      <c r="B36" s="243" t="s">
        <v>154</v>
      </c>
      <c r="C36" s="244" t="s">
        <v>579</v>
      </c>
      <c r="D36" s="560" t="s">
        <v>1177</v>
      </c>
      <c r="E36" s="560" t="s">
        <v>729</v>
      </c>
      <c r="F36" s="245">
        <f t="shared" si="1"/>
        <v>0</v>
      </c>
      <c r="G36" s="246" t="str">
        <f t="shared" si="0"/>
        <v>No</v>
      </c>
      <c r="H36" s="247" t="str">
        <f t="shared" si="2"/>
        <v/>
      </c>
      <c r="I36" s="220"/>
    </row>
    <row r="37" spans="1:9" ht="18.75" x14ac:dyDescent="0.25">
      <c r="A37" s="183" t="s">
        <v>580</v>
      </c>
      <c r="B37" s="248" t="s">
        <v>1097</v>
      </c>
      <c r="C37" s="249"/>
      <c r="D37" s="568"/>
      <c r="E37" s="561"/>
      <c r="F37" s="250">
        <f>F39+F44+F48+F52+F56+F59+F62+F67+F71+F75+F78</f>
        <v>0</v>
      </c>
      <c r="G37" s="186"/>
      <c r="H37" s="251"/>
      <c r="I37" s="252"/>
    </row>
    <row r="38" spans="1:9" ht="15.75" thickBot="1" x14ac:dyDescent="0.3">
      <c r="A38" s="226" t="s">
        <v>331</v>
      </c>
      <c r="B38" s="253" t="s">
        <v>1101</v>
      </c>
      <c r="C38" s="8"/>
      <c r="D38" s="569"/>
      <c r="F38" s="3"/>
      <c r="G38" s="254"/>
      <c r="H38" s="255"/>
      <c r="I38" s="256"/>
    </row>
    <row r="39" spans="1:9" s="2" customFormat="1" ht="15.75" thickBot="1" x14ac:dyDescent="0.25">
      <c r="A39" s="183" t="s">
        <v>580</v>
      </c>
      <c r="B39" s="257" t="s">
        <v>581</v>
      </c>
      <c r="C39" s="258" t="s">
        <v>1102</v>
      </c>
      <c r="D39" s="570"/>
      <c r="E39" s="563"/>
      <c r="F39" s="259">
        <f>SUM(F40:F43)</f>
        <v>0</v>
      </c>
      <c r="G39" s="260" t="s">
        <v>129</v>
      </c>
      <c r="H39" s="261"/>
      <c r="I39" s="262"/>
    </row>
    <row r="40" spans="1:9" s="2" customFormat="1" ht="13.5" thickTop="1" x14ac:dyDescent="0.2">
      <c r="A40" s="183" t="s">
        <v>580</v>
      </c>
      <c r="B40" s="263" t="s">
        <v>582</v>
      </c>
      <c r="C40" s="671" t="s">
        <v>583</v>
      </c>
      <c r="D40" s="672"/>
      <c r="E40" s="672"/>
      <c r="F40" s="235">
        <f>IF(G40=Listas!$A$3,1,0)</f>
        <v>0</v>
      </c>
      <c r="G40" s="264" t="str">
        <f t="shared" ref="G40:G43" si="3">IF(I40&lt;&gt;"","Si","No")</f>
        <v>No</v>
      </c>
      <c r="H40" s="265" t="str">
        <f t="shared" ref="H40:H77" si="4">IF(G40="Si","X","")</f>
        <v/>
      </c>
      <c r="I40" s="199"/>
    </row>
    <row r="41" spans="1:9" s="2" customFormat="1" ht="12.75" x14ac:dyDescent="0.2">
      <c r="A41" s="183" t="s">
        <v>580</v>
      </c>
      <c r="B41" s="266" t="s">
        <v>584</v>
      </c>
      <c r="C41" s="673" t="s">
        <v>585</v>
      </c>
      <c r="D41" s="674"/>
      <c r="E41" s="674"/>
      <c r="F41" s="240">
        <f>IF(G41=Listas!$A$3,1,0)</f>
        <v>0</v>
      </c>
      <c r="G41" s="197" t="str">
        <f t="shared" si="3"/>
        <v>No</v>
      </c>
      <c r="H41" s="198" t="str">
        <f t="shared" si="4"/>
        <v/>
      </c>
      <c r="I41" s="203"/>
    </row>
    <row r="42" spans="1:9" s="2" customFormat="1" ht="12.75" x14ac:dyDescent="0.2">
      <c r="A42" s="183" t="s">
        <v>580</v>
      </c>
      <c r="B42" s="267" t="s">
        <v>586</v>
      </c>
      <c r="C42" s="681" t="s">
        <v>587</v>
      </c>
      <c r="D42" s="682"/>
      <c r="E42" s="682"/>
      <c r="F42" s="268">
        <f>IF(G42=Listas!$A$3,1,0)</f>
        <v>0</v>
      </c>
      <c r="G42" s="269" t="str">
        <f t="shared" si="3"/>
        <v>No</v>
      </c>
      <c r="H42" s="270" t="str">
        <f t="shared" si="4"/>
        <v/>
      </c>
      <c r="I42" s="203"/>
    </row>
    <row r="43" spans="1:9" s="2" customFormat="1" ht="13.5" thickBot="1" x14ac:dyDescent="0.25">
      <c r="A43" s="183" t="s">
        <v>580</v>
      </c>
      <c r="B43" s="266" t="s">
        <v>588</v>
      </c>
      <c r="C43" s="683" t="s">
        <v>589</v>
      </c>
      <c r="D43" s="684"/>
      <c r="E43" s="684"/>
      <c r="F43" s="196">
        <f>IF(G43=Listas!$A$3,1,0)</f>
        <v>0</v>
      </c>
      <c r="G43" s="197" t="str">
        <f t="shared" si="3"/>
        <v>No</v>
      </c>
      <c r="H43" s="198" t="str">
        <f t="shared" si="4"/>
        <v/>
      </c>
      <c r="I43" s="203"/>
    </row>
    <row r="44" spans="1:9" s="2" customFormat="1" ht="13.5" thickBot="1" x14ac:dyDescent="0.25">
      <c r="A44" s="183" t="s">
        <v>580</v>
      </c>
      <c r="B44" s="271" t="s">
        <v>590</v>
      </c>
      <c r="C44" s="272" t="s">
        <v>591</v>
      </c>
      <c r="D44" s="570"/>
      <c r="E44" s="563"/>
      <c r="F44" s="273">
        <f>SUM(F45:F47)</f>
        <v>0</v>
      </c>
      <c r="G44" s="260" t="s">
        <v>129</v>
      </c>
      <c r="H44" s="274"/>
      <c r="I44" s="275"/>
    </row>
    <row r="45" spans="1:9" s="2" customFormat="1" ht="13.5" thickTop="1" x14ac:dyDescent="0.2">
      <c r="A45" s="183" t="s">
        <v>580</v>
      </c>
      <c r="B45" s="267" t="s">
        <v>592</v>
      </c>
      <c r="C45" s="671" t="s">
        <v>583</v>
      </c>
      <c r="D45" s="672"/>
      <c r="E45" s="672"/>
      <c r="F45" s="268">
        <f>IF(G45=Listas!$A$3,1,0)</f>
        <v>0</v>
      </c>
      <c r="G45" s="264" t="str">
        <f t="shared" ref="G45:G47" si="5">IF(I45&lt;&gt;"","Si","No")</f>
        <v>No</v>
      </c>
      <c r="H45" s="265" t="str">
        <f t="shared" ref="H45:H47" si="6">IF(G45="Si","X","")</f>
        <v/>
      </c>
      <c r="I45" s="199"/>
    </row>
    <row r="46" spans="1:9" s="2" customFormat="1" ht="12.75" x14ac:dyDescent="0.2">
      <c r="A46" s="183" t="s">
        <v>580</v>
      </c>
      <c r="B46" s="266" t="s">
        <v>593</v>
      </c>
      <c r="C46" s="673" t="s">
        <v>585</v>
      </c>
      <c r="D46" s="674"/>
      <c r="E46" s="674"/>
      <c r="F46" s="196">
        <f>IF(G46=Listas!$A$3,1,0)</f>
        <v>0</v>
      </c>
      <c r="G46" s="197" t="str">
        <f t="shared" si="5"/>
        <v>No</v>
      </c>
      <c r="H46" s="198" t="str">
        <f t="shared" si="6"/>
        <v/>
      </c>
      <c r="I46" s="203"/>
    </row>
    <row r="47" spans="1:9" s="2" customFormat="1" ht="13.5" thickBot="1" x14ac:dyDescent="0.25">
      <c r="A47" s="183" t="s">
        <v>580</v>
      </c>
      <c r="B47" s="267" t="s">
        <v>594</v>
      </c>
      <c r="C47" s="675" t="s">
        <v>595</v>
      </c>
      <c r="D47" s="676"/>
      <c r="E47" s="676"/>
      <c r="F47" s="268">
        <f>IF(G47=Listas!$A$3,1,0)</f>
        <v>0</v>
      </c>
      <c r="G47" s="269" t="str">
        <f t="shared" si="5"/>
        <v>No</v>
      </c>
      <c r="H47" s="270" t="str">
        <f t="shared" si="6"/>
        <v/>
      </c>
      <c r="I47" s="203"/>
    </row>
    <row r="48" spans="1:9" s="2" customFormat="1" ht="13.5" thickBot="1" x14ac:dyDescent="0.25">
      <c r="A48" s="183" t="s">
        <v>580</v>
      </c>
      <c r="B48" s="271" t="s">
        <v>596</v>
      </c>
      <c r="C48" s="272" t="s">
        <v>597</v>
      </c>
      <c r="D48" s="570"/>
      <c r="E48" s="563"/>
      <c r="F48" s="273">
        <f>SUM(F49:F51)</f>
        <v>0</v>
      </c>
      <c r="G48" s="260"/>
      <c r="H48" s="274"/>
      <c r="I48" s="275"/>
    </row>
    <row r="49" spans="1:9" s="2" customFormat="1" ht="13.5" thickTop="1" x14ac:dyDescent="0.2">
      <c r="A49" s="183" t="s">
        <v>580</v>
      </c>
      <c r="B49" s="267" t="s">
        <v>598</v>
      </c>
      <c r="C49" s="671" t="s">
        <v>583</v>
      </c>
      <c r="D49" s="672"/>
      <c r="E49" s="672"/>
      <c r="F49" s="268">
        <f>IF(G49=Listas!$A$3,1,0)</f>
        <v>0</v>
      </c>
      <c r="G49" s="269" t="str">
        <f t="shared" ref="G49:G51" si="7">IF(I49&lt;&gt;"","Si","No")</f>
        <v>No</v>
      </c>
      <c r="H49" s="270" t="str">
        <f t="shared" si="4"/>
        <v/>
      </c>
      <c r="I49" s="203"/>
    </row>
    <row r="50" spans="1:9" s="2" customFormat="1" ht="12.75" x14ac:dyDescent="0.2">
      <c r="A50" s="183" t="s">
        <v>580</v>
      </c>
      <c r="B50" s="266" t="s">
        <v>599</v>
      </c>
      <c r="C50" s="673" t="s">
        <v>585</v>
      </c>
      <c r="D50" s="674"/>
      <c r="E50" s="674"/>
      <c r="F50" s="196">
        <f>IF(G50=Listas!$A$3,1,0)</f>
        <v>0</v>
      </c>
      <c r="G50" s="197" t="str">
        <f t="shared" si="7"/>
        <v>No</v>
      </c>
      <c r="H50" s="198" t="str">
        <f t="shared" si="4"/>
        <v/>
      </c>
      <c r="I50" s="203"/>
    </row>
    <row r="51" spans="1:9" s="2" customFormat="1" ht="13.5" thickBot="1" x14ac:dyDescent="0.25">
      <c r="A51" s="183" t="s">
        <v>580</v>
      </c>
      <c r="B51" s="267" t="s">
        <v>600</v>
      </c>
      <c r="C51" s="675" t="s">
        <v>601</v>
      </c>
      <c r="D51" s="676"/>
      <c r="E51" s="676"/>
      <c r="F51" s="268">
        <f>IF(G51=Listas!$A$3,1,0)</f>
        <v>0</v>
      </c>
      <c r="G51" s="269" t="str">
        <f t="shared" si="7"/>
        <v>No</v>
      </c>
      <c r="H51" s="270" t="str">
        <f t="shared" si="4"/>
        <v/>
      </c>
      <c r="I51" s="203"/>
    </row>
    <row r="52" spans="1:9" s="2" customFormat="1" ht="13.5" thickBot="1" x14ac:dyDescent="0.25">
      <c r="A52" s="183" t="s">
        <v>580</v>
      </c>
      <c r="B52" s="271" t="s">
        <v>602</v>
      </c>
      <c r="C52" s="272" t="s">
        <v>603</v>
      </c>
      <c r="D52" s="570"/>
      <c r="E52" s="563"/>
      <c r="F52" s="273">
        <f>SUM(F53:F55)</f>
        <v>0</v>
      </c>
      <c r="G52" s="260"/>
      <c r="H52" s="274"/>
      <c r="I52" s="275"/>
    </row>
    <row r="53" spans="1:9" s="2" customFormat="1" ht="13.5" thickTop="1" x14ac:dyDescent="0.2">
      <c r="A53" s="183" t="s">
        <v>580</v>
      </c>
      <c r="B53" s="267" t="s">
        <v>604</v>
      </c>
      <c r="C53" s="671" t="s">
        <v>583</v>
      </c>
      <c r="D53" s="672"/>
      <c r="E53" s="672"/>
      <c r="F53" s="268">
        <f>IF(G53=Listas!$A$3,1,0)</f>
        <v>0</v>
      </c>
      <c r="G53" s="269" t="str">
        <f t="shared" ref="G53:G55" si="8">IF(I53&lt;&gt;"","Si","No")</f>
        <v>No</v>
      </c>
      <c r="H53" s="270" t="str">
        <f t="shared" si="4"/>
        <v/>
      </c>
      <c r="I53" s="203"/>
    </row>
    <row r="54" spans="1:9" s="2" customFormat="1" ht="12.75" x14ac:dyDescent="0.2">
      <c r="A54" s="183" t="s">
        <v>580</v>
      </c>
      <c r="B54" s="266" t="s">
        <v>605</v>
      </c>
      <c r="C54" s="673" t="s">
        <v>585</v>
      </c>
      <c r="D54" s="674"/>
      <c r="E54" s="674"/>
      <c r="F54" s="196">
        <f>IF(G54=Listas!$A$3,1,0)</f>
        <v>0</v>
      </c>
      <c r="G54" s="197" t="str">
        <f t="shared" si="8"/>
        <v>No</v>
      </c>
      <c r="H54" s="198" t="str">
        <f t="shared" si="4"/>
        <v/>
      </c>
      <c r="I54" s="203"/>
    </row>
    <row r="55" spans="1:9" s="2" customFormat="1" ht="13.5" thickBot="1" x14ac:dyDescent="0.25">
      <c r="A55" s="183" t="s">
        <v>580</v>
      </c>
      <c r="B55" s="267" t="s">
        <v>606</v>
      </c>
      <c r="C55" s="675" t="s">
        <v>589</v>
      </c>
      <c r="D55" s="676"/>
      <c r="E55" s="676"/>
      <c r="F55" s="268">
        <f>IF(G55=Listas!$A$3,1,0)</f>
        <v>0</v>
      </c>
      <c r="G55" s="269" t="str">
        <f t="shared" si="8"/>
        <v>No</v>
      </c>
      <c r="H55" s="270" t="str">
        <f t="shared" si="4"/>
        <v/>
      </c>
      <c r="I55" s="203"/>
    </row>
    <row r="56" spans="1:9" s="2" customFormat="1" ht="13.5" thickBot="1" x14ac:dyDescent="0.25">
      <c r="A56" s="183" t="s">
        <v>580</v>
      </c>
      <c r="B56" s="271" t="s">
        <v>607</v>
      </c>
      <c r="C56" s="272" t="s">
        <v>608</v>
      </c>
      <c r="D56" s="570"/>
      <c r="E56" s="563"/>
      <c r="F56" s="273">
        <f>SUM(F57:F59)</f>
        <v>0</v>
      </c>
      <c r="G56" s="260"/>
      <c r="H56" s="274"/>
      <c r="I56" s="275"/>
    </row>
    <row r="57" spans="1:9" s="2" customFormat="1" ht="13.5" thickTop="1" x14ac:dyDescent="0.2">
      <c r="A57" s="183" t="s">
        <v>580</v>
      </c>
      <c r="B57" s="267" t="s">
        <v>609</v>
      </c>
      <c r="C57" s="671" t="s">
        <v>610</v>
      </c>
      <c r="D57" s="672"/>
      <c r="E57" s="672"/>
      <c r="F57" s="268">
        <f>IF(G57=Listas!$A$3,1,0)</f>
        <v>0</v>
      </c>
      <c r="G57" s="269" t="str">
        <f t="shared" ref="G57:G58" si="9">IF(I57&lt;&gt;"","Si","No")</f>
        <v>No</v>
      </c>
      <c r="H57" s="270" t="str">
        <f t="shared" ref="H57:H58" si="10">IF(G57="Si","X","")</f>
        <v/>
      </c>
      <c r="I57" s="203"/>
    </row>
    <row r="58" spans="1:9" s="2" customFormat="1" ht="13.5" thickBot="1" x14ac:dyDescent="0.25">
      <c r="A58" s="183" t="s">
        <v>580</v>
      </c>
      <c r="B58" s="266" t="s">
        <v>611</v>
      </c>
      <c r="C58" s="683" t="s">
        <v>612</v>
      </c>
      <c r="D58" s="684"/>
      <c r="E58" s="684"/>
      <c r="F58" s="196">
        <f>IF(G58=Listas!$A$3,1,0)</f>
        <v>0</v>
      </c>
      <c r="G58" s="197" t="str">
        <f t="shared" si="9"/>
        <v>No</v>
      </c>
      <c r="H58" s="198" t="str">
        <f t="shared" si="10"/>
        <v/>
      </c>
      <c r="I58" s="203"/>
    </row>
    <row r="59" spans="1:9" s="2" customFormat="1" ht="13.5" thickBot="1" x14ac:dyDescent="0.25">
      <c r="A59" s="183" t="s">
        <v>580</v>
      </c>
      <c r="B59" s="271" t="s">
        <v>613</v>
      </c>
      <c r="C59" s="272" t="s">
        <v>614</v>
      </c>
      <c r="D59" s="570"/>
      <c r="E59" s="563"/>
      <c r="F59" s="273">
        <f>SUM(F60:F61)</f>
        <v>0</v>
      </c>
      <c r="G59" s="260"/>
      <c r="H59" s="274"/>
      <c r="I59" s="275"/>
    </row>
    <row r="60" spans="1:9" s="2" customFormat="1" ht="13.5" thickTop="1" x14ac:dyDescent="0.2">
      <c r="A60" s="183" t="s">
        <v>580</v>
      </c>
      <c r="B60" s="267" t="s">
        <v>615</v>
      </c>
      <c r="C60" s="671" t="s">
        <v>610</v>
      </c>
      <c r="D60" s="672"/>
      <c r="E60" s="672"/>
      <c r="F60" s="268">
        <f>IF(G60=Listas!$A$3,1,0)</f>
        <v>0</v>
      </c>
      <c r="G60" s="269" t="str">
        <f t="shared" ref="G60:G61" si="11">IF(I60&lt;&gt;"","Si","No")</f>
        <v>No</v>
      </c>
      <c r="H60" s="270" t="str">
        <f t="shared" ref="H60:H61" si="12">IF(G60="Si","X","")</f>
        <v/>
      </c>
      <c r="I60" s="203"/>
    </row>
    <row r="61" spans="1:9" s="2" customFormat="1" ht="13.5" thickBot="1" x14ac:dyDescent="0.25">
      <c r="A61" s="183" t="s">
        <v>580</v>
      </c>
      <c r="B61" s="266" t="s">
        <v>616</v>
      </c>
      <c r="C61" s="683" t="s">
        <v>617</v>
      </c>
      <c r="D61" s="684"/>
      <c r="E61" s="684"/>
      <c r="F61" s="196">
        <f>IF(G61=Listas!$A$3,1,0)</f>
        <v>0</v>
      </c>
      <c r="G61" s="197" t="str">
        <f t="shared" si="11"/>
        <v>No</v>
      </c>
      <c r="H61" s="198" t="str">
        <f t="shared" si="12"/>
        <v/>
      </c>
      <c r="I61" s="203"/>
    </row>
    <row r="62" spans="1:9" s="2" customFormat="1" ht="13.5" thickBot="1" x14ac:dyDescent="0.25">
      <c r="A62" s="183" t="s">
        <v>580</v>
      </c>
      <c r="B62" s="271" t="s">
        <v>618</v>
      </c>
      <c r="C62" s="272" t="s">
        <v>619</v>
      </c>
      <c r="D62" s="570"/>
      <c r="E62" s="563"/>
      <c r="F62" s="273">
        <f>SUM(F63:F66)</f>
        <v>0</v>
      </c>
      <c r="G62" s="260"/>
      <c r="H62" s="274"/>
      <c r="I62" s="275"/>
    </row>
    <row r="63" spans="1:9" s="2" customFormat="1" ht="13.5" thickTop="1" x14ac:dyDescent="0.2">
      <c r="A63" s="183" t="s">
        <v>580</v>
      </c>
      <c r="B63" s="267" t="s">
        <v>620</v>
      </c>
      <c r="C63" s="671" t="s">
        <v>621</v>
      </c>
      <c r="D63" s="672"/>
      <c r="E63" s="672"/>
      <c r="F63" s="268">
        <f>IF(G63=Listas!$A$3,1,0)</f>
        <v>0</v>
      </c>
      <c r="G63" s="269" t="str">
        <f t="shared" ref="G63:G66" si="13">IF(I63&lt;&gt;"","Si","No")</f>
        <v>No</v>
      </c>
      <c r="H63" s="270" t="str">
        <f t="shared" si="4"/>
        <v/>
      </c>
      <c r="I63" s="203"/>
    </row>
    <row r="64" spans="1:9" s="2" customFormat="1" ht="12.75" x14ac:dyDescent="0.2">
      <c r="A64" s="183" t="s">
        <v>580</v>
      </c>
      <c r="B64" s="266" t="s">
        <v>622</v>
      </c>
      <c r="C64" s="673" t="s">
        <v>623</v>
      </c>
      <c r="D64" s="674"/>
      <c r="E64" s="674"/>
      <c r="F64" s="196">
        <f>IF(G64=Listas!$A$3,1,0)</f>
        <v>0</v>
      </c>
      <c r="G64" s="197" t="str">
        <f t="shared" si="13"/>
        <v>No</v>
      </c>
      <c r="H64" s="198" t="str">
        <f t="shared" si="4"/>
        <v/>
      </c>
      <c r="I64" s="203"/>
    </row>
    <row r="65" spans="1:9" s="2" customFormat="1" ht="12.75" x14ac:dyDescent="0.2">
      <c r="A65" s="183" t="s">
        <v>580</v>
      </c>
      <c r="B65" s="267" t="s">
        <v>624</v>
      </c>
      <c r="C65" s="681" t="s">
        <v>625</v>
      </c>
      <c r="D65" s="682"/>
      <c r="E65" s="682"/>
      <c r="F65" s="268">
        <f>IF(G65=Listas!$A$3,1,0)</f>
        <v>0</v>
      </c>
      <c r="G65" s="269" t="str">
        <f t="shared" si="13"/>
        <v>No</v>
      </c>
      <c r="H65" s="270" t="str">
        <f t="shared" si="4"/>
        <v/>
      </c>
      <c r="I65" s="203"/>
    </row>
    <row r="66" spans="1:9" s="2" customFormat="1" ht="13.5" thickBot="1" x14ac:dyDescent="0.25">
      <c r="A66" s="183" t="s">
        <v>580</v>
      </c>
      <c r="B66" s="266" t="s">
        <v>626</v>
      </c>
      <c r="C66" s="683" t="s">
        <v>627</v>
      </c>
      <c r="D66" s="684"/>
      <c r="E66" s="684"/>
      <c r="F66" s="196">
        <f>IF(G66=Listas!$A$3,1,0)</f>
        <v>0</v>
      </c>
      <c r="G66" s="197" t="str">
        <f t="shared" si="13"/>
        <v>No</v>
      </c>
      <c r="H66" s="198" t="str">
        <f t="shared" si="4"/>
        <v/>
      </c>
      <c r="I66" s="203"/>
    </row>
    <row r="67" spans="1:9" s="2" customFormat="1" ht="13.5" thickBot="1" x14ac:dyDescent="0.25">
      <c r="A67" s="183" t="s">
        <v>580</v>
      </c>
      <c r="B67" s="271" t="s">
        <v>628</v>
      </c>
      <c r="C67" s="272" t="s">
        <v>629</v>
      </c>
      <c r="D67" s="570"/>
      <c r="E67" s="563"/>
      <c r="F67" s="273">
        <f>SUM(F68:F70)</f>
        <v>0</v>
      </c>
      <c r="G67" s="260"/>
      <c r="H67" s="274"/>
      <c r="I67" s="275"/>
    </row>
    <row r="68" spans="1:9" s="2" customFormat="1" ht="13.5" thickTop="1" x14ac:dyDescent="0.2">
      <c r="A68" s="183" t="s">
        <v>580</v>
      </c>
      <c r="B68" s="267" t="s">
        <v>630</v>
      </c>
      <c r="C68" s="671" t="s">
        <v>631</v>
      </c>
      <c r="D68" s="672"/>
      <c r="E68" s="672"/>
      <c r="F68" s="268">
        <f>IF(G68=Listas!$A$3,1,0)</f>
        <v>0</v>
      </c>
      <c r="G68" s="269" t="str">
        <f t="shared" ref="G68:G70" si="14">IF(I68&lt;&gt;"","Si","No")</f>
        <v>No</v>
      </c>
      <c r="H68" s="270" t="str">
        <f t="shared" si="4"/>
        <v/>
      </c>
      <c r="I68" s="203"/>
    </row>
    <row r="69" spans="1:9" s="2" customFormat="1" ht="12.75" x14ac:dyDescent="0.2">
      <c r="A69" s="183" t="s">
        <v>580</v>
      </c>
      <c r="B69" s="266" t="s">
        <v>632</v>
      </c>
      <c r="C69" s="673" t="s">
        <v>633</v>
      </c>
      <c r="D69" s="674"/>
      <c r="E69" s="674"/>
      <c r="F69" s="196">
        <f>IF(G69=Listas!$A$3,1,0)</f>
        <v>0</v>
      </c>
      <c r="G69" s="197" t="str">
        <f t="shared" si="14"/>
        <v>No</v>
      </c>
      <c r="H69" s="198" t="str">
        <f t="shared" si="4"/>
        <v/>
      </c>
      <c r="I69" s="203"/>
    </row>
    <row r="70" spans="1:9" s="2" customFormat="1" ht="13.5" thickBot="1" x14ac:dyDescent="0.25">
      <c r="A70" s="183" t="s">
        <v>580</v>
      </c>
      <c r="B70" s="267" t="s">
        <v>634</v>
      </c>
      <c r="C70" s="675" t="s">
        <v>635</v>
      </c>
      <c r="D70" s="676"/>
      <c r="E70" s="676"/>
      <c r="F70" s="268">
        <f>IF(G70=Listas!$A$3,1,0)</f>
        <v>0</v>
      </c>
      <c r="G70" s="269" t="str">
        <f t="shared" si="14"/>
        <v>No</v>
      </c>
      <c r="H70" s="270" t="str">
        <f t="shared" si="4"/>
        <v/>
      </c>
      <c r="I70" s="203"/>
    </row>
    <row r="71" spans="1:9" s="2" customFormat="1" ht="13.5" thickBot="1" x14ac:dyDescent="0.25">
      <c r="A71" s="183" t="s">
        <v>580</v>
      </c>
      <c r="B71" s="271" t="s">
        <v>636</v>
      </c>
      <c r="C71" s="272" t="s">
        <v>637</v>
      </c>
      <c r="D71" s="570"/>
      <c r="E71" s="563"/>
      <c r="F71" s="273">
        <f>SUM(F72:F74)</f>
        <v>0</v>
      </c>
      <c r="G71" s="260"/>
      <c r="H71" s="274"/>
      <c r="I71" s="275"/>
    </row>
    <row r="72" spans="1:9" s="2" customFormat="1" ht="13.5" thickTop="1" x14ac:dyDescent="0.2">
      <c r="A72" s="183" t="s">
        <v>580</v>
      </c>
      <c r="B72" s="267" t="s">
        <v>638</v>
      </c>
      <c r="C72" s="671" t="s">
        <v>639</v>
      </c>
      <c r="D72" s="672"/>
      <c r="E72" s="672"/>
      <c r="F72" s="268">
        <f>IF(G72=Listas!$A$3,1,0)</f>
        <v>0</v>
      </c>
      <c r="G72" s="269" t="str">
        <f t="shared" ref="G72:G74" si="15">IF(I72&lt;&gt;"","Si","No")</f>
        <v>No</v>
      </c>
      <c r="H72" s="270" t="str">
        <f t="shared" si="4"/>
        <v/>
      </c>
      <c r="I72" s="203"/>
    </row>
    <row r="73" spans="1:9" s="2" customFormat="1" ht="12.75" x14ac:dyDescent="0.2">
      <c r="A73" s="183" t="s">
        <v>580</v>
      </c>
      <c r="B73" s="266" t="s">
        <v>640</v>
      </c>
      <c r="C73" s="673" t="s">
        <v>641</v>
      </c>
      <c r="D73" s="674"/>
      <c r="E73" s="674"/>
      <c r="F73" s="196">
        <f>IF(G73=Listas!$A$3,1,0)</f>
        <v>0</v>
      </c>
      <c r="G73" s="197" t="str">
        <f t="shared" si="15"/>
        <v>No</v>
      </c>
      <c r="H73" s="198" t="str">
        <f t="shared" si="4"/>
        <v/>
      </c>
      <c r="I73" s="203"/>
    </row>
    <row r="74" spans="1:9" s="2" customFormat="1" ht="13.5" thickBot="1" x14ac:dyDescent="0.25">
      <c r="A74" s="183" t="s">
        <v>580</v>
      </c>
      <c r="B74" s="267" t="s">
        <v>642</v>
      </c>
      <c r="C74" s="675" t="s">
        <v>643</v>
      </c>
      <c r="D74" s="676"/>
      <c r="E74" s="676"/>
      <c r="F74" s="268">
        <f>IF(G74=Listas!$A$3,1,0)</f>
        <v>0</v>
      </c>
      <c r="G74" s="269" t="str">
        <f t="shared" si="15"/>
        <v>No</v>
      </c>
      <c r="H74" s="270" t="str">
        <f t="shared" si="4"/>
        <v/>
      </c>
      <c r="I74" s="203"/>
    </row>
    <row r="75" spans="1:9" s="2" customFormat="1" ht="13.5" thickBot="1" x14ac:dyDescent="0.25">
      <c r="A75" s="183" t="s">
        <v>580</v>
      </c>
      <c r="B75" s="271" t="s">
        <v>644</v>
      </c>
      <c r="C75" s="272" t="s">
        <v>645</v>
      </c>
      <c r="D75" s="570"/>
      <c r="E75" s="563"/>
      <c r="F75" s="273">
        <f>SUM(F76:F77)</f>
        <v>0</v>
      </c>
      <c r="G75" s="260"/>
      <c r="H75" s="274"/>
      <c r="I75" s="275"/>
    </row>
    <row r="76" spans="1:9" s="2" customFormat="1" ht="13.5" thickTop="1" x14ac:dyDescent="0.2">
      <c r="A76" s="183" t="s">
        <v>580</v>
      </c>
      <c r="B76" s="267" t="s">
        <v>646</v>
      </c>
      <c r="C76" s="671" t="s">
        <v>647</v>
      </c>
      <c r="D76" s="672"/>
      <c r="E76" s="672"/>
      <c r="F76" s="268">
        <f>IF(G76=Listas!$A$3,1,0)</f>
        <v>0</v>
      </c>
      <c r="G76" s="269" t="str">
        <f t="shared" ref="G76:G77" si="16">IF(I76&lt;&gt;"","Si","No")</f>
        <v>No</v>
      </c>
      <c r="H76" s="270" t="str">
        <f t="shared" si="4"/>
        <v/>
      </c>
      <c r="I76" s="203"/>
    </row>
    <row r="77" spans="1:9" s="2" customFormat="1" ht="13.5" thickBot="1" x14ac:dyDescent="0.25">
      <c r="A77" s="183" t="s">
        <v>580</v>
      </c>
      <c r="B77" s="266" t="s">
        <v>648</v>
      </c>
      <c r="C77" s="683" t="s">
        <v>649</v>
      </c>
      <c r="D77" s="684"/>
      <c r="E77" s="684"/>
      <c r="F77" s="196">
        <f>IF(G77=Listas!$A$3,1,0)</f>
        <v>0</v>
      </c>
      <c r="G77" s="197" t="str">
        <f t="shared" si="16"/>
        <v>No</v>
      </c>
      <c r="H77" s="198" t="str">
        <f t="shared" si="4"/>
        <v/>
      </c>
      <c r="I77" s="203"/>
    </row>
    <row r="78" spans="1:9" s="2" customFormat="1" ht="13.5" thickBot="1" x14ac:dyDescent="0.25">
      <c r="A78" s="183" t="s">
        <v>580</v>
      </c>
      <c r="B78" s="271" t="s">
        <v>650</v>
      </c>
      <c r="C78" s="272" t="s">
        <v>651</v>
      </c>
      <c r="D78" s="570"/>
      <c r="E78" s="563"/>
      <c r="F78" s="273">
        <f>SUM(F79:F85)</f>
        <v>0</v>
      </c>
      <c r="G78" s="260"/>
      <c r="H78" s="274"/>
      <c r="I78" s="275"/>
    </row>
    <row r="79" spans="1:9" s="2" customFormat="1" ht="13.5" thickTop="1" x14ac:dyDescent="0.2">
      <c r="A79" s="183" t="s">
        <v>580</v>
      </c>
      <c r="B79" s="267" t="s">
        <v>652</v>
      </c>
      <c r="C79" s="671" t="s">
        <v>653</v>
      </c>
      <c r="D79" s="672"/>
      <c r="E79" s="672"/>
      <c r="F79" s="268">
        <f>IF(G79=Listas!$A$3,1,0)</f>
        <v>0</v>
      </c>
      <c r="G79" s="269" t="str">
        <f t="shared" ref="G79:G85" si="17">IF(I79&lt;&gt;"","Si","No")</f>
        <v>No</v>
      </c>
      <c r="H79" s="270" t="str">
        <f t="shared" ref="H79:H85" si="18">IF(G79="Si","X","")</f>
        <v/>
      </c>
      <c r="I79" s="203"/>
    </row>
    <row r="80" spans="1:9" s="2" customFormat="1" ht="12.75" x14ac:dyDescent="0.2">
      <c r="A80" s="183" t="s">
        <v>580</v>
      </c>
      <c r="B80" s="266" t="s">
        <v>654</v>
      </c>
      <c r="C80" s="673" t="s">
        <v>655</v>
      </c>
      <c r="D80" s="674"/>
      <c r="E80" s="674"/>
      <c r="F80" s="196">
        <f>IF(G80=Listas!$A$3,1,0)</f>
        <v>0</v>
      </c>
      <c r="G80" s="197" t="str">
        <f t="shared" si="17"/>
        <v>No</v>
      </c>
      <c r="H80" s="198" t="str">
        <f t="shared" si="18"/>
        <v/>
      </c>
      <c r="I80" s="203"/>
    </row>
    <row r="81" spans="1:9" s="2" customFormat="1" ht="12.75" x14ac:dyDescent="0.2">
      <c r="A81" s="183" t="s">
        <v>580</v>
      </c>
      <c r="B81" s="267" t="s">
        <v>656</v>
      </c>
      <c r="C81" s="681" t="s">
        <v>657</v>
      </c>
      <c r="D81" s="682"/>
      <c r="E81" s="682"/>
      <c r="F81" s="268">
        <f>IF(G81=Listas!$A$3,1,0)</f>
        <v>0</v>
      </c>
      <c r="G81" s="269" t="str">
        <f t="shared" si="17"/>
        <v>No</v>
      </c>
      <c r="H81" s="270" t="str">
        <f t="shared" si="18"/>
        <v/>
      </c>
      <c r="I81" s="203"/>
    </row>
    <row r="82" spans="1:9" s="2" customFormat="1" ht="12.75" x14ac:dyDescent="0.2">
      <c r="A82" s="183" t="s">
        <v>580</v>
      </c>
      <c r="B82" s="266" t="s">
        <v>658</v>
      </c>
      <c r="C82" s="673" t="s">
        <v>659</v>
      </c>
      <c r="D82" s="674"/>
      <c r="E82" s="674"/>
      <c r="F82" s="196">
        <f>IF(G82=Listas!$A$3,1,0)</f>
        <v>0</v>
      </c>
      <c r="G82" s="197" t="str">
        <f t="shared" si="17"/>
        <v>No</v>
      </c>
      <c r="H82" s="198" t="str">
        <f t="shared" si="18"/>
        <v/>
      </c>
      <c r="I82" s="203"/>
    </row>
    <row r="83" spans="1:9" s="2" customFormat="1" ht="12.75" x14ac:dyDescent="0.2">
      <c r="A83" s="183" t="s">
        <v>580</v>
      </c>
      <c r="B83" s="267" t="s">
        <v>660</v>
      </c>
      <c r="C83" s="681" t="s">
        <v>661</v>
      </c>
      <c r="D83" s="682"/>
      <c r="E83" s="682"/>
      <c r="F83" s="268">
        <f>IF(G83=Listas!$A$3,1,0)</f>
        <v>0</v>
      </c>
      <c r="G83" s="269" t="str">
        <f t="shared" si="17"/>
        <v>No</v>
      </c>
      <c r="H83" s="270" t="str">
        <f t="shared" si="18"/>
        <v/>
      </c>
      <c r="I83" s="203"/>
    </row>
    <row r="84" spans="1:9" s="2" customFormat="1" ht="12.75" x14ac:dyDescent="0.2">
      <c r="A84" s="183" t="s">
        <v>580</v>
      </c>
      <c r="B84" s="266" t="s">
        <v>662</v>
      </c>
      <c r="C84" s="673" t="s">
        <v>663</v>
      </c>
      <c r="D84" s="674"/>
      <c r="E84" s="674"/>
      <c r="F84" s="196">
        <f>IF(G84=Listas!$A$3,1,0)</f>
        <v>0</v>
      </c>
      <c r="G84" s="197" t="str">
        <f t="shared" si="17"/>
        <v>No</v>
      </c>
      <c r="H84" s="198" t="str">
        <f t="shared" si="18"/>
        <v/>
      </c>
      <c r="I84" s="203"/>
    </row>
    <row r="85" spans="1:9" s="2" customFormat="1" ht="13.5" thickBot="1" x14ac:dyDescent="0.25">
      <c r="A85" s="183" t="s">
        <v>580</v>
      </c>
      <c r="B85" s="276" t="s">
        <v>664</v>
      </c>
      <c r="C85" s="675" t="s">
        <v>665</v>
      </c>
      <c r="D85" s="676"/>
      <c r="E85" s="676"/>
      <c r="F85" s="277">
        <f>IF(G85=Listas!$A$3,1,0)</f>
        <v>0</v>
      </c>
      <c r="G85" s="278" t="str">
        <f t="shared" si="17"/>
        <v>No</v>
      </c>
      <c r="H85" s="279" t="str">
        <f t="shared" si="18"/>
        <v/>
      </c>
      <c r="I85" s="220"/>
    </row>
    <row r="86" spans="1:9" x14ac:dyDescent="0.25">
      <c r="A86" s="154"/>
      <c r="C86" s="155"/>
      <c r="H86" s="161"/>
    </row>
  </sheetData>
  <sheetProtection algorithmName="SHA-512" hashValue="IwfbI7tU0pttlhDnij0Wtg0s2f27ipxjJJuBAmQ/67rt29blVifOJrt6U8Z4CUbsQ0nSCv5M2b/bQ5rBQz3Npg==" saltValue="yJlTOqcxnbbMmlXRbrXvLA==" spinCount="100000" sheet="1" autoFilter="0"/>
  <autoFilter ref="A7:I85" xr:uid="{8B05247C-138D-4A64-A0F0-DD12BACDBF01}"/>
  <mergeCells count="45">
    <mergeCell ref="B1:E1"/>
    <mergeCell ref="C81:E81"/>
    <mergeCell ref="C82:E82"/>
    <mergeCell ref="C83:E83"/>
    <mergeCell ref="C84:E84"/>
    <mergeCell ref="C64:E64"/>
    <mergeCell ref="C49:E49"/>
    <mergeCell ref="C50:E50"/>
    <mergeCell ref="C51:E51"/>
    <mergeCell ref="C53:E53"/>
    <mergeCell ref="C54:E54"/>
    <mergeCell ref="C55:E55"/>
    <mergeCell ref="C57:E57"/>
    <mergeCell ref="C58:E58"/>
    <mergeCell ref="C60:E60"/>
    <mergeCell ref="C61:E61"/>
    <mergeCell ref="C85:E85"/>
    <mergeCell ref="C80:E80"/>
    <mergeCell ref="C65:E65"/>
    <mergeCell ref="C66:E66"/>
    <mergeCell ref="C68:E68"/>
    <mergeCell ref="C69:E69"/>
    <mergeCell ref="C70:E70"/>
    <mergeCell ref="C72:E72"/>
    <mergeCell ref="C73:E73"/>
    <mergeCell ref="C74:E74"/>
    <mergeCell ref="C76:E76"/>
    <mergeCell ref="C77:E77"/>
    <mergeCell ref="C79:E79"/>
    <mergeCell ref="C63:E63"/>
    <mergeCell ref="C2:G2"/>
    <mergeCell ref="C3:G3"/>
    <mergeCell ref="C4:D4"/>
    <mergeCell ref="C47:E47"/>
    <mergeCell ref="B10:E10"/>
    <mergeCell ref="G10:G11"/>
    <mergeCell ref="C42:E42"/>
    <mergeCell ref="C43:E43"/>
    <mergeCell ref="C45:E45"/>
    <mergeCell ref="C46:E46"/>
    <mergeCell ref="H10:H11"/>
    <mergeCell ref="I10:I11"/>
    <mergeCell ref="E11:F11"/>
    <mergeCell ref="C40:E40"/>
    <mergeCell ref="C41:E41"/>
  </mergeCells>
  <dataValidations count="2">
    <dataValidation allowBlank="1" showInputMessage="1" showErrorMessage="1" prompt="Justifique el elemento para que pueda ser valorado y puntuado en el criterio CS13" sqref="I12:I36 I40" xr:uid="{E1ED308D-0E15-44D5-B862-3AB4927ABF67}"/>
    <dataValidation type="date" allowBlank="1" showInputMessage="1" showErrorMessage="1" errorTitle="Fecha no valida" error="Introducir una fecha de la convocatoria 2018" promptTitle="Introducir Fecha" prompt="Convocatoria 2018" sqref="C4:C5" xr:uid="{CFE70D2E-2F70-462D-94BA-C924D93F183E}">
      <formula1>43405</formula1>
      <formula2>43496</formula2>
    </dataValidation>
  </dataValidations>
  <pageMargins left="0.35433070866141736" right="0.15748031496062992" top="1.1417322834645669" bottom="0.78740157480314965" header="0.31496062992125984" footer="0.31496062992125984"/>
  <pageSetup paperSize="9" scale="58"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promptTitle="Elegir valor de la lista" prompt="Municipio o Comarcca" xr:uid="{5709A5AC-469E-44FA-9520-E046D9A59925}">
          <x14:formula1>
            <xm:f>Listas!$A$11:$A$21</xm:f>
          </x14:formula1>
          <xm:sqref>C3:D3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B52FF-9B6C-4DC7-BDD7-0991CC06F99D}">
  <sheetPr>
    <tabColor theme="0" tint="-0.499984740745262"/>
    <pageSetUpPr fitToPage="1"/>
  </sheetPr>
  <dimension ref="A1:G90"/>
  <sheetViews>
    <sheetView topLeftCell="B1" zoomScaleNormal="100" zoomScaleSheetLayoutView="110" workbookViewId="0">
      <selection activeCell="B1" sqref="B1:C1"/>
    </sheetView>
  </sheetViews>
  <sheetFormatPr baseColWidth="10" defaultColWidth="11.42578125" defaultRowHeight="15" x14ac:dyDescent="0.25"/>
  <cols>
    <col min="1" max="1" width="6.85546875" style="163" hidden="1" customWidth="1"/>
    <col min="2" max="2" width="7.7109375" style="3" customWidth="1"/>
    <col min="3" max="3" width="92.140625" style="164" customWidth="1"/>
    <col min="4" max="4" width="9" style="159" hidden="1" customWidth="1"/>
    <col min="5" max="5" width="11.42578125" style="160" hidden="1" customWidth="1"/>
    <col min="6" max="6" width="8.28515625" style="17" customWidth="1"/>
    <col min="7" max="7" width="40.85546875" style="162" customWidth="1"/>
    <col min="8" max="16384" width="11.42578125" style="17"/>
  </cols>
  <sheetData>
    <row r="1" spans="1:7" ht="24.75" customHeight="1" thickTop="1" thickBot="1" x14ac:dyDescent="0.4">
      <c r="A1" s="18"/>
      <c r="B1" s="660" t="str">
        <f>"NECESIDADES PRIORITARIAS  "&amp;LEFT(Baremo!C8,8)</f>
        <v xml:space="preserve">NECESIDADES PRIORITARIAS  Linea 3 </v>
      </c>
      <c r="C1" s="685"/>
      <c r="D1" s="415"/>
      <c r="E1" s="415"/>
      <c r="F1" s="415"/>
      <c r="G1" s="571" t="str">
        <f>Baremo!J1</f>
        <v xml:space="preserve">  GDR: JA07  Convocatoria: 2020</v>
      </c>
    </row>
    <row r="2" spans="1:7" ht="16.5" thickTop="1" thickBot="1" x14ac:dyDescent="0.3">
      <c r="A2" s="18"/>
      <c r="B2" s="166" t="str">
        <f>Baremo!B2</f>
        <v>Proyecto:</v>
      </c>
      <c r="C2" s="645" t="str">
        <f>IF(Baremo!C2:I2=0,"",Baremo!C2:I2)</f>
        <v/>
      </c>
      <c r="D2" s="645"/>
      <c r="E2" s="645"/>
      <c r="F2" s="167"/>
      <c r="G2" s="167"/>
    </row>
    <row r="3" spans="1:7" ht="16.5" thickTop="1" thickBot="1" x14ac:dyDescent="0.3">
      <c r="A3" s="18"/>
      <c r="B3" s="168" t="str">
        <f>Baremo!B3</f>
        <v>Solicitante:</v>
      </c>
      <c r="C3" s="646" t="str">
        <f>IF(Baremo!C3:I3=0,"",Baremo!C3:I3)</f>
        <v/>
      </c>
      <c r="D3" s="646"/>
      <c r="E3" s="646"/>
      <c r="F3" s="169"/>
      <c r="G3" s="170"/>
    </row>
    <row r="4" spans="1:7" ht="16.5" thickTop="1" thickBot="1" x14ac:dyDescent="0.3">
      <c r="A4" s="18"/>
      <c r="B4" s="168" t="str">
        <f>Baremo!B4</f>
        <v>Municipio:</v>
      </c>
      <c r="C4" s="280" t="str">
        <f>IF(Baremo!C4:I4=0,"",Baremo!C4:I4)</f>
        <v/>
      </c>
      <c r="D4" s="172"/>
      <c r="E4" s="171"/>
      <c r="F4" s="172"/>
      <c r="G4" s="171" t="str">
        <f>IF(G27-G49&lt;&gt;0,G27-G49,"")</f>
        <v/>
      </c>
    </row>
    <row r="5" spans="1:7" ht="16.5" thickTop="1" thickBot="1" x14ac:dyDescent="0.3">
      <c r="A5" s="18"/>
      <c r="B5" s="168" t="str">
        <f>Baremo!B5</f>
        <v>Fecha</v>
      </c>
      <c r="C5" s="173">
        <f>IF(Baremo!C5:I5=0,"",Baremo!C5:I5)</f>
        <v>44136</v>
      </c>
      <c r="D5" s="176"/>
      <c r="E5" s="176"/>
      <c r="F5" s="33"/>
      <c r="G5" s="176" t="str">
        <f>IF(G27&lt;&gt;G49,Listas!$A$40,"")</f>
        <v/>
      </c>
    </row>
    <row r="6" spans="1:7" ht="16.5" thickTop="1" thickBot="1" x14ac:dyDescent="0.3">
      <c r="A6" s="18"/>
      <c r="B6" s="177"/>
      <c r="C6" s="178"/>
      <c r="D6" s="52"/>
      <c r="E6" s="52"/>
      <c r="F6" s="181"/>
      <c r="G6" s="182"/>
    </row>
    <row r="7" spans="1:7" s="58" customFormat="1" ht="16.5" thickTop="1" thickBot="1" x14ac:dyDescent="0.3">
      <c r="A7" s="525" t="s">
        <v>339</v>
      </c>
      <c r="B7" s="523"/>
      <c r="C7" s="55"/>
      <c r="D7" s="55"/>
      <c r="E7" s="55"/>
      <c r="F7" s="55"/>
      <c r="G7" s="526"/>
    </row>
    <row r="8" spans="1:7" ht="18.75" x14ac:dyDescent="0.25">
      <c r="A8" s="221" t="s">
        <v>331</v>
      </c>
      <c r="B8" s="248" t="s">
        <v>957</v>
      </c>
      <c r="C8" s="249"/>
      <c r="D8" s="249"/>
      <c r="E8" s="186"/>
      <c r="F8" s="251"/>
      <c r="G8" s="225"/>
    </row>
    <row r="9" spans="1:7" ht="15.75" thickBot="1" x14ac:dyDescent="0.3">
      <c r="A9" s="226" t="s">
        <v>331</v>
      </c>
      <c r="B9" s="188" t="s">
        <v>1103</v>
      </c>
      <c r="C9" s="189"/>
      <c r="D9" s="190"/>
      <c r="E9" s="229"/>
      <c r="F9" s="281"/>
      <c r="G9" s="193"/>
    </row>
    <row r="10" spans="1:7" ht="15.75" thickBot="1" x14ac:dyDescent="0.3">
      <c r="A10" s="183" t="s">
        <v>331</v>
      </c>
      <c r="B10" s="282" t="s">
        <v>14</v>
      </c>
      <c r="C10" s="283" t="s">
        <v>170</v>
      </c>
      <c r="D10" s="284">
        <f>SUM(D11:D90)</f>
        <v>0</v>
      </c>
      <c r="E10" s="285" t="s">
        <v>129</v>
      </c>
      <c r="F10" s="286" t="s">
        <v>574</v>
      </c>
      <c r="G10" s="287" t="s">
        <v>575</v>
      </c>
    </row>
    <row r="11" spans="1:7" s="64" customFormat="1" ht="26.25" thickTop="1" x14ac:dyDescent="0.2">
      <c r="A11" s="183" t="s">
        <v>331</v>
      </c>
      <c r="B11" s="288" t="s">
        <v>172</v>
      </c>
      <c r="C11" s="289" t="s">
        <v>171</v>
      </c>
      <c r="D11" s="290">
        <f>IF(E11=Listas!$A$3,1,0)</f>
        <v>0</v>
      </c>
      <c r="E11" s="291" t="str">
        <f t="shared" ref="E11:E74" si="0">IF(G11&lt;&gt;"","Si","No")</f>
        <v>No</v>
      </c>
      <c r="F11" s="292" t="str">
        <f t="shared" ref="F11:F74" si="1">IF(E11="Si","X","")</f>
        <v/>
      </c>
      <c r="G11" s="199"/>
    </row>
    <row r="12" spans="1:7" s="64" customFormat="1" ht="12.75" x14ac:dyDescent="0.2">
      <c r="A12" s="183" t="s">
        <v>331</v>
      </c>
      <c r="B12" s="238" t="s">
        <v>174</v>
      </c>
      <c r="C12" s="293" t="s">
        <v>173</v>
      </c>
      <c r="D12" s="240">
        <f>IF(E12=Listas!$A$3,1,0)</f>
        <v>0</v>
      </c>
      <c r="E12" s="241" t="str">
        <f t="shared" si="0"/>
        <v>No</v>
      </c>
      <c r="F12" s="242" t="str">
        <f t="shared" si="1"/>
        <v/>
      </c>
      <c r="G12" s="203"/>
    </row>
    <row r="13" spans="1:7" s="64" customFormat="1" ht="12.75" x14ac:dyDescent="0.2">
      <c r="A13" s="183" t="s">
        <v>331</v>
      </c>
      <c r="B13" s="233" t="s">
        <v>176</v>
      </c>
      <c r="C13" s="294" t="s">
        <v>175</v>
      </c>
      <c r="D13" s="235">
        <f>IF(E13=Listas!$A$3,1,0)</f>
        <v>0</v>
      </c>
      <c r="E13" s="236" t="str">
        <f t="shared" si="0"/>
        <v>No</v>
      </c>
      <c r="F13" s="237" t="str">
        <f t="shared" si="1"/>
        <v/>
      </c>
      <c r="G13" s="203"/>
    </row>
    <row r="14" spans="1:7" s="64" customFormat="1" ht="25.5" x14ac:dyDescent="0.2">
      <c r="A14" s="183" t="s">
        <v>331</v>
      </c>
      <c r="B14" s="238" t="s">
        <v>178</v>
      </c>
      <c r="C14" s="293" t="s">
        <v>177</v>
      </c>
      <c r="D14" s="240">
        <f>IF(E14=Listas!$A$3,1,0)</f>
        <v>0</v>
      </c>
      <c r="E14" s="241" t="str">
        <f t="shared" si="0"/>
        <v>No</v>
      </c>
      <c r="F14" s="242" t="str">
        <f t="shared" si="1"/>
        <v/>
      </c>
      <c r="G14" s="203"/>
    </row>
    <row r="15" spans="1:7" s="64" customFormat="1" ht="51" x14ac:dyDescent="0.2">
      <c r="A15" s="183" t="s">
        <v>331</v>
      </c>
      <c r="B15" s="233" t="s">
        <v>180</v>
      </c>
      <c r="C15" s="294" t="s">
        <v>179</v>
      </c>
      <c r="D15" s="235">
        <f>IF(E15=Listas!$A$3,1,0)</f>
        <v>0</v>
      </c>
      <c r="E15" s="236" t="str">
        <f t="shared" si="0"/>
        <v>No</v>
      </c>
      <c r="F15" s="237" t="str">
        <f t="shared" si="1"/>
        <v/>
      </c>
      <c r="G15" s="203"/>
    </row>
    <row r="16" spans="1:7" s="64" customFormat="1" ht="25.5" x14ac:dyDescent="0.2">
      <c r="A16" s="183" t="s">
        <v>331</v>
      </c>
      <c r="B16" s="238" t="s">
        <v>182</v>
      </c>
      <c r="C16" s="293" t="s">
        <v>181</v>
      </c>
      <c r="D16" s="240">
        <f>IF(E16=Listas!$A$3,1,0)</f>
        <v>0</v>
      </c>
      <c r="E16" s="241" t="str">
        <f t="shared" si="0"/>
        <v>No</v>
      </c>
      <c r="F16" s="242" t="str">
        <f t="shared" si="1"/>
        <v/>
      </c>
      <c r="G16" s="203"/>
    </row>
    <row r="17" spans="1:7" s="64" customFormat="1" ht="12.75" x14ac:dyDescent="0.2">
      <c r="A17" s="183" t="s">
        <v>331</v>
      </c>
      <c r="B17" s="233" t="s">
        <v>184</v>
      </c>
      <c r="C17" s="294" t="s">
        <v>183</v>
      </c>
      <c r="D17" s="235">
        <f>IF(E17=Listas!$A$3,1,0)</f>
        <v>0</v>
      </c>
      <c r="E17" s="236" t="str">
        <f t="shared" si="0"/>
        <v>No</v>
      </c>
      <c r="F17" s="237" t="str">
        <f t="shared" si="1"/>
        <v/>
      </c>
      <c r="G17" s="203"/>
    </row>
    <row r="18" spans="1:7" s="64" customFormat="1" ht="38.25" x14ac:dyDescent="0.2">
      <c r="A18" s="183" t="s">
        <v>331</v>
      </c>
      <c r="B18" s="238" t="s">
        <v>186</v>
      </c>
      <c r="C18" s="293" t="s">
        <v>185</v>
      </c>
      <c r="D18" s="240">
        <f>IF(E18=Listas!$A$3,1,0)</f>
        <v>0</v>
      </c>
      <c r="E18" s="241" t="str">
        <f t="shared" si="0"/>
        <v>No</v>
      </c>
      <c r="F18" s="242" t="str">
        <f t="shared" si="1"/>
        <v/>
      </c>
      <c r="G18" s="203"/>
    </row>
    <row r="19" spans="1:7" s="64" customFormat="1" ht="25.5" x14ac:dyDescent="0.2">
      <c r="A19" s="183" t="s">
        <v>331</v>
      </c>
      <c r="B19" s="233" t="s">
        <v>188</v>
      </c>
      <c r="C19" s="294" t="s">
        <v>187</v>
      </c>
      <c r="D19" s="235">
        <f>IF(E19=Listas!$A$3,1,0)</f>
        <v>0</v>
      </c>
      <c r="E19" s="236" t="str">
        <f t="shared" si="0"/>
        <v>No</v>
      </c>
      <c r="F19" s="237" t="str">
        <f t="shared" si="1"/>
        <v/>
      </c>
      <c r="G19" s="203"/>
    </row>
    <row r="20" spans="1:7" s="64" customFormat="1" ht="38.25" x14ac:dyDescent="0.2">
      <c r="A20" s="183" t="s">
        <v>331</v>
      </c>
      <c r="B20" s="238" t="s">
        <v>190</v>
      </c>
      <c r="C20" s="293" t="s">
        <v>189</v>
      </c>
      <c r="D20" s="240">
        <f>IF(E20=Listas!$A$3,1,0)</f>
        <v>0</v>
      </c>
      <c r="E20" s="241" t="str">
        <f t="shared" si="0"/>
        <v>No</v>
      </c>
      <c r="F20" s="242" t="str">
        <f t="shared" si="1"/>
        <v/>
      </c>
      <c r="G20" s="203"/>
    </row>
    <row r="21" spans="1:7" s="64" customFormat="1" ht="25.5" x14ac:dyDescent="0.2">
      <c r="A21" s="183" t="s">
        <v>331</v>
      </c>
      <c r="B21" s="233" t="s">
        <v>192</v>
      </c>
      <c r="C21" s="294" t="s">
        <v>191</v>
      </c>
      <c r="D21" s="235">
        <f>IF(E21=Listas!$A$3,1,0)</f>
        <v>0</v>
      </c>
      <c r="E21" s="236" t="str">
        <f t="shared" si="0"/>
        <v>No</v>
      </c>
      <c r="F21" s="237" t="str">
        <f t="shared" si="1"/>
        <v/>
      </c>
      <c r="G21" s="203"/>
    </row>
    <row r="22" spans="1:7" s="64" customFormat="1" ht="51" x14ac:dyDescent="0.2">
      <c r="A22" s="183" t="s">
        <v>331</v>
      </c>
      <c r="B22" s="238" t="s">
        <v>194</v>
      </c>
      <c r="C22" s="293" t="s">
        <v>193</v>
      </c>
      <c r="D22" s="240">
        <f>IF(E22=Listas!$A$3,1,0)</f>
        <v>0</v>
      </c>
      <c r="E22" s="241" t="str">
        <f t="shared" si="0"/>
        <v>No</v>
      </c>
      <c r="F22" s="242" t="str">
        <f t="shared" si="1"/>
        <v/>
      </c>
      <c r="G22" s="203"/>
    </row>
    <row r="23" spans="1:7" s="64" customFormat="1" ht="25.5" x14ac:dyDescent="0.2">
      <c r="A23" s="183" t="s">
        <v>331</v>
      </c>
      <c r="B23" s="233" t="s">
        <v>196</v>
      </c>
      <c r="C23" s="294" t="s">
        <v>195</v>
      </c>
      <c r="D23" s="235">
        <f>IF(E23=Listas!$A$3,1,0)</f>
        <v>0</v>
      </c>
      <c r="E23" s="236" t="str">
        <f t="shared" si="0"/>
        <v>No</v>
      </c>
      <c r="F23" s="237" t="str">
        <f t="shared" si="1"/>
        <v/>
      </c>
      <c r="G23" s="203"/>
    </row>
    <row r="24" spans="1:7" s="64" customFormat="1" ht="25.5" x14ac:dyDescent="0.2">
      <c r="A24" s="183" t="s">
        <v>331</v>
      </c>
      <c r="B24" s="238" t="s">
        <v>198</v>
      </c>
      <c r="C24" s="293" t="s">
        <v>197</v>
      </c>
      <c r="D24" s="240">
        <f>IF(E24=Listas!$A$3,1,0)</f>
        <v>0</v>
      </c>
      <c r="E24" s="241" t="str">
        <f t="shared" si="0"/>
        <v>No</v>
      </c>
      <c r="F24" s="242" t="str">
        <f t="shared" si="1"/>
        <v/>
      </c>
      <c r="G24" s="203"/>
    </row>
    <row r="25" spans="1:7" s="64" customFormat="1" ht="25.5" x14ac:dyDescent="0.2">
      <c r="A25" s="183" t="s">
        <v>331</v>
      </c>
      <c r="B25" s="233" t="s">
        <v>200</v>
      </c>
      <c r="C25" s="294" t="s">
        <v>199</v>
      </c>
      <c r="D25" s="235">
        <f>IF(E25=Listas!$A$3,1,0)</f>
        <v>0</v>
      </c>
      <c r="E25" s="236" t="str">
        <f t="shared" si="0"/>
        <v>No</v>
      </c>
      <c r="F25" s="237" t="str">
        <f t="shared" si="1"/>
        <v/>
      </c>
      <c r="G25" s="203"/>
    </row>
    <row r="26" spans="1:7" s="64" customFormat="1" ht="12.75" x14ac:dyDescent="0.2">
      <c r="A26" s="183" t="s">
        <v>331</v>
      </c>
      <c r="B26" s="238" t="s">
        <v>202</v>
      </c>
      <c r="C26" s="293" t="s">
        <v>201</v>
      </c>
      <c r="D26" s="240">
        <f>IF(E26=Listas!$A$3,1,0)</f>
        <v>0</v>
      </c>
      <c r="E26" s="241" t="str">
        <f t="shared" si="0"/>
        <v>No</v>
      </c>
      <c r="F26" s="242" t="str">
        <f t="shared" si="1"/>
        <v/>
      </c>
      <c r="G26" s="203"/>
    </row>
    <row r="27" spans="1:7" s="64" customFormat="1" ht="25.5" x14ac:dyDescent="0.2">
      <c r="A27" s="183" t="s">
        <v>331</v>
      </c>
      <c r="B27" s="233" t="s">
        <v>204</v>
      </c>
      <c r="C27" s="294" t="s">
        <v>203</v>
      </c>
      <c r="D27" s="235">
        <f>IF(E27=Listas!$A$3,1,0)</f>
        <v>0</v>
      </c>
      <c r="E27" s="236" t="str">
        <f t="shared" si="0"/>
        <v>No</v>
      </c>
      <c r="F27" s="237" t="str">
        <f t="shared" si="1"/>
        <v/>
      </c>
      <c r="G27" s="203"/>
    </row>
    <row r="28" spans="1:7" s="64" customFormat="1" ht="25.5" x14ac:dyDescent="0.2">
      <c r="A28" s="183" t="s">
        <v>331</v>
      </c>
      <c r="B28" s="238" t="s">
        <v>206</v>
      </c>
      <c r="C28" s="293" t="s">
        <v>205</v>
      </c>
      <c r="D28" s="240">
        <f>IF(E28=Listas!$A$3,1,0)</f>
        <v>0</v>
      </c>
      <c r="E28" s="241" t="str">
        <f t="shared" si="0"/>
        <v>No</v>
      </c>
      <c r="F28" s="242" t="str">
        <f t="shared" si="1"/>
        <v/>
      </c>
      <c r="G28" s="203"/>
    </row>
    <row r="29" spans="1:7" s="64" customFormat="1" ht="12.75" x14ac:dyDescent="0.2">
      <c r="A29" s="183" t="s">
        <v>331</v>
      </c>
      <c r="B29" s="233" t="s">
        <v>208</v>
      </c>
      <c r="C29" s="294" t="s">
        <v>207</v>
      </c>
      <c r="D29" s="235">
        <f>IF(E29=Listas!$A$3,1,0)</f>
        <v>0</v>
      </c>
      <c r="E29" s="236" t="str">
        <f t="shared" si="0"/>
        <v>No</v>
      </c>
      <c r="F29" s="237" t="str">
        <f t="shared" si="1"/>
        <v/>
      </c>
      <c r="G29" s="203"/>
    </row>
    <row r="30" spans="1:7" s="64" customFormat="1" ht="25.5" x14ac:dyDescent="0.2">
      <c r="A30" s="183" t="s">
        <v>331</v>
      </c>
      <c r="B30" s="238" t="s">
        <v>210</v>
      </c>
      <c r="C30" s="293" t="s">
        <v>209</v>
      </c>
      <c r="D30" s="240">
        <f>IF(E30=Listas!$A$3,1,0)</f>
        <v>0</v>
      </c>
      <c r="E30" s="241" t="str">
        <f t="shared" si="0"/>
        <v>No</v>
      </c>
      <c r="F30" s="242" t="str">
        <f t="shared" si="1"/>
        <v/>
      </c>
      <c r="G30" s="203"/>
    </row>
    <row r="31" spans="1:7" s="64" customFormat="1" ht="12.75" x14ac:dyDescent="0.2">
      <c r="A31" s="183" t="s">
        <v>331</v>
      </c>
      <c r="B31" s="233" t="s">
        <v>212</v>
      </c>
      <c r="C31" s="294" t="s">
        <v>211</v>
      </c>
      <c r="D31" s="235">
        <f>IF(E31=Listas!$A$3,1,0)</f>
        <v>0</v>
      </c>
      <c r="E31" s="236" t="str">
        <f t="shared" si="0"/>
        <v>No</v>
      </c>
      <c r="F31" s="237" t="str">
        <f t="shared" si="1"/>
        <v/>
      </c>
      <c r="G31" s="203"/>
    </row>
    <row r="32" spans="1:7" s="64" customFormat="1" ht="12.75" x14ac:dyDescent="0.2">
      <c r="A32" s="183" t="s">
        <v>331</v>
      </c>
      <c r="B32" s="238" t="s">
        <v>214</v>
      </c>
      <c r="C32" s="293" t="s">
        <v>213</v>
      </c>
      <c r="D32" s="240">
        <f>IF(E32=Listas!$A$3,1,0)</f>
        <v>0</v>
      </c>
      <c r="E32" s="241" t="str">
        <f t="shared" si="0"/>
        <v>No</v>
      </c>
      <c r="F32" s="242" t="str">
        <f t="shared" si="1"/>
        <v/>
      </c>
      <c r="G32" s="203"/>
    </row>
    <row r="33" spans="1:7" s="64" customFormat="1" ht="12.75" x14ac:dyDescent="0.2">
      <c r="A33" s="183" t="s">
        <v>331</v>
      </c>
      <c r="B33" s="233" t="s">
        <v>216</v>
      </c>
      <c r="C33" s="294" t="s">
        <v>215</v>
      </c>
      <c r="D33" s="235">
        <f>IF(E33=Listas!$A$3,1,0)</f>
        <v>0</v>
      </c>
      <c r="E33" s="236" t="str">
        <f t="shared" si="0"/>
        <v>No</v>
      </c>
      <c r="F33" s="237" t="str">
        <f t="shared" si="1"/>
        <v/>
      </c>
      <c r="G33" s="203"/>
    </row>
    <row r="34" spans="1:7" s="64" customFormat="1" ht="25.5" x14ac:dyDescent="0.2">
      <c r="A34" s="183" t="s">
        <v>331</v>
      </c>
      <c r="B34" s="238" t="s">
        <v>218</v>
      </c>
      <c r="C34" s="293" t="s">
        <v>217</v>
      </c>
      <c r="D34" s="240">
        <f>IF(E34=Listas!$A$3,1,0)</f>
        <v>0</v>
      </c>
      <c r="E34" s="241" t="str">
        <f t="shared" si="0"/>
        <v>No</v>
      </c>
      <c r="F34" s="242" t="str">
        <f t="shared" si="1"/>
        <v/>
      </c>
      <c r="G34" s="203"/>
    </row>
    <row r="35" spans="1:7" s="64" customFormat="1" ht="12.75" x14ac:dyDescent="0.2">
      <c r="A35" s="183" t="s">
        <v>331</v>
      </c>
      <c r="B35" s="233" t="s">
        <v>220</v>
      </c>
      <c r="C35" s="294" t="s">
        <v>219</v>
      </c>
      <c r="D35" s="235">
        <f>IF(E35=Listas!$A$3,1,0)</f>
        <v>0</v>
      </c>
      <c r="E35" s="236" t="str">
        <f t="shared" si="0"/>
        <v>No</v>
      </c>
      <c r="F35" s="237" t="str">
        <f t="shared" si="1"/>
        <v/>
      </c>
      <c r="G35" s="203"/>
    </row>
    <row r="36" spans="1:7" s="64" customFormat="1" ht="25.5" x14ac:dyDescent="0.2">
      <c r="A36" s="183" t="s">
        <v>331</v>
      </c>
      <c r="B36" s="238" t="s">
        <v>222</v>
      </c>
      <c r="C36" s="293" t="s">
        <v>221</v>
      </c>
      <c r="D36" s="240">
        <f>IF(E36=Listas!$A$3,1,0)</f>
        <v>0</v>
      </c>
      <c r="E36" s="241" t="str">
        <f t="shared" si="0"/>
        <v>No</v>
      </c>
      <c r="F36" s="242" t="str">
        <f t="shared" si="1"/>
        <v/>
      </c>
      <c r="G36" s="203"/>
    </row>
    <row r="37" spans="1:7" s="64" customFormat="1" ht="12.75" x14ac:dyDescent="0.2">
      <c r="A37" s="183" t="s">
        <v>331</v>
      </c>
      <c r="B37" s="233" t="s">
        <v>224</v>
      </c>
      <c r="C37" s="294" t="s">
        <v>223</v>
      </c>
      <c r="D37" s="235">
        <f>IF(E37=Listas!$A$3,1,0)</f>
        <v>0</v>
      </c>
      <c r="E37" s="236" t="str">
        <f t="shared" si="0"/>
        <v>No</v>
      </c>
      <c r="F37" s="237" t="str">
        <f t="shared" si="1"/>
        <v/>
      </c>
      <c r="G37" s="203"/>
    </row>
    <row r="38" spans="1:7" s="64" customFormat="1" ht="25.5" x14ac:dyDescent="0.2">
      <c r="A38" s="183" t="s">
        <v>331</v>
      </c>
      <c r="B38" s="238" t="s">
        <v>226</v>
      </c>
      <c r="C38" s="293" t="s">
        <v>225</v>
      </c>
      <c r="D38" s="240">
        <f>IF(E38=Listas!$A$3,1,0)</f>
        <v>0</v>
      </c>
      <c r="E38" s="241" t="str">
        <f t="shared" si="0"/>
        <v>No</v>
      </c>
      <c r="F38" s="242" t="str">
        <f t="shared" si="1"/>
        <v/>
      </c>
      <c r="G38" s="203"/>
    </row>
    <row r="39" spans="1:7" s="64" customFormat="1" ht="25.5" x14ac:dyDescent="0.2">
      <c r="A39" s="183" t="s">
        <v>331</v>
      </c>
      <c r="B39" s="233" t="s">
        <v>228</v>
      </c>
      <c r="C39" s="294" t="s">
        <v>227</v>
      </c>
      <c r="D39" s="235">
        <f>IF(E39=Listas!$A$3,1,0)</f>
        <v>0</v>
      </c>
      <c r="E39" s="236" t="str">
        <f t="shared" si="0"/>
        <v>No</v>
      </c>
      <c r="F39" s="237" t="str">
        <f t="shared" si="1"/>
        <v/>
      </c>
      <c r="G39" s="203"/>
    </row>
    <row r="40" spans="1:7" s="64" customFormat="1" ht="12.75" x14ac:dyDescent="0.2">
      <c r="A40" s="183" t="s">
        <v>331</v>
      </c>
      <c r="B40" s="238" t="s">
        <v>230</v>
      </c>
      <c r="C40" s="293" t="s">
        <v>229</v>
      </c>
      <c r="D40" s="240">
        <f>IF(E40=Listas!$A$3,1,0)</f>
        <v>0</v>
      </c>
      <c r="E40" s="241" t="str">
        <f t="shared" si="0"/>
        <v>No</v>
      </c>
      <c r="F40" s="242" t="str">
        <f t="shared" si="1"/>
        <v/>
      </c>
      <c r="G40" s="203"/>
    </row>
    <row r="41" spans="1:7" s="64" customFormat="1" ht="25.5" x14ac:dyDescent="0.2">
      <c r="A41" s="183" t="s">
        <v>331</v>
      </c>
      <c r="B41" s="233" t="s">
        <v>232</v>
      </c>
      <c r="C41" s="294" t="s">
        <v>231</v>
      </c>
      <c r="D41" s="235">
        <f>IF(E41=Listas!$A$3,1,0)</f>
        <v>0</v>
      </c>
      <c r="E41" s="236" t="str">
        <f t="shared" si="0"/>
        <v>No</v>
      </c>
      <c r="F41" s="237" t="str">
        <f t="shared" si="1"/>
        <v/>
      </c>
      <c r="G41" s="203"/>
    </row>
    <row r="42" spans="1:7" s="64" customFormat="1" ht="25.5" x14ac:dyDescent="0.2">
      <c r="A42" s="183" t="s">
        <v>331</v>
      </c>
      <c r="B42" s="238" t="s">
        <v>234</v>
      </c>
      <c r="C42" s="293" t="s">
        <v>233</v>
      </c>
      <c r="D42" s="240">
        <f>IF(E42=Listas!$A$3,1,0)</f>
        <v>0</v>
      </c>
      <c r="E42" s="241" t="str">
        <f t="shared" si="0"/>
        <v>No</v>
      </c>
      <c r="F42" s="242" t="str">
        <f t="shared" si="1"/>
        <v/>
      </c>
      <c r="G42" s="203"/>
    </row>
    <row r="43" spans="1:7" s="64" customFormat="1" ht="38.25" x14ac:dyDescent="0.2">
      <c r="A43" s="183" t="s">
        <v>331</v>
      </c>
      <c r="B43" s="233" t="s">
        <v>236</v>
      </c>
      <c r="C43" s="294" t="s">
        <v>235</v>
      </c>
      <c r="D43" s="235">
        <f>IF(E43=Listas!$A$3,1,0)</f>
        <v>0</v>
      </c>
      <c r="E43" s="236" t="str">
        <f t="shared" si="0"/>
        <v>No</v>
      </c>
      <c r="F43" s="237" t="str">
        <f t="shared" si="1"/>
        <v/>
      </c>
      <c r="G43" s="203"/>
    </row>
    <row r="44" spans="1:7" s="64" customFormat="1" ht="12.75" x14ac:dyDescent="0.2">
      <c r="A44" s="183" t="s">
        <v>331</v>
      </c>
      <c r="B44" s="238" t="s">
        <v>238</v>
      </c>
      <c r="C44" s="293" t="s">
        <v>237</v>
      </c>
      <c r="D44" s="240">
        <f>IF(E44=Listas!$A$3,1,0)</f>
        <v>0</v>
      </c>
      <c r="E44" s="241" t="str">
        <f t="shared" si="0"/>
        <v>No</v>
      </c>
      <c r="F44" s="242" t="str">
        <f t="shared" si="1"/>
        <v/>
      </c>
      <c r="G44" s="203"/>
    </row>
    <row r="45" spans="1:7" s="64" customFormat="1" ht="38.25" x14ac:dyDescent="0.2">
      <c r="A45" s="183" t="s">
        <v>331</v>
      </c>
      <c r="B45" s="233" t="s">
        <v>240</v>
      </c>
      <c r="C45" s="294" t="s">
        <v>239</v>
      </c>
      <c r="D45" s="235">
        <f>IF(E45=Listas!$A$3,1,0)</f>
        <v>0</v>
      </c>
      <c r="E45" s="236" t="str">
        <f t="shared" si="0"/>
        <v>No</v>
      </c>
      <c r="F45" s="237" t="str">
        <f t="shared" si="1"/>
        <v/>
      </c>
      <c r="G45" s="203"/>
    </row>
    <row r="46" spans="1:7" s="64" customFormat="1" ht="25.5" x14ac:dyDescent="0.2">
      <c r="A46" s="183" t="s">
        <v>331</v>
      </c>
      <c r="B46" s="238" t="s">
        <v>242</v>
      </c>
      <c r="C46" s="293" t="s">
        <v>241</v>
      </c>
      <c r="D46" s="240">
        <f>IF(E46=Listas!$A$3,1,0)</f>
        <v>0</v>
      </c>
      <c r="E46" s="241" t="str">
        <f t="shared" si="0"/>
        <v>No</v>
      </c>
      <c r="F46" s="242" t="str">
        <f t="shared" si="1"/>
        <v/>
      </c>
      <c r="G46" s="203"/>
    </row>
    <row r="47" spans="1:7" s="64" customFormat="1" ht="25.5" x14ac:dyDescent="0.2">
      <c r="A47" s="183" t="s">
        <v>331</v>
      </c>
      <c r="B47" s="233" t="s">
        <v>244</v>
      </c>
      <c r="C47" s="294" t="s">
        <v>243</v>
      </c>
      <c r="D47" s="235">
        <f>IF(E47=Listas!$A$3,1,0)</f>
        <v>0</v>
      </c>
      <c r="E47" s="236" t="str">
        <f t="shared" si="0"/>
        <v>No</v>
      </c>
      <c r="F47" s="237" t="str">
        <f t="shared" si="1"/>
        <v/>
      </c>
      <c r="G47" s="203"/>
    </row>
    <row r="48" spans="1:7" s="64" customFormat="1" ht="38.25" x14ac:dyDescent="0.2">
      <c r="A48" s="183" t="s">
        <v>331</v>
      </c>
      <c r="B48" s="238" t="s">
        <v>246</v>
      </c>
      <c r="C48" s="293" t="s">
        <v>245</v>
      </c>
      <c r="D48" s="240">
        <f>IF(E48=Listas!$A$3,1,0)</f>
        <v>0</v>
      </c>
      <c r="E48" s="241" t="str">
        <f t="shared" si="0"/>
        <v>No</v>
      </c>
      <c r="F48" s="242" t="str">
        <f t="shared" si="1"/>
        <v/>
      </c>
      <c r="G48" s="203"/>
    </row>
    <row r="49" spans="1:7" s="64" customFormat="1" ht="25.5" x14ac:dyDescent="0.2">
      <c r="A49" s="183" t="s">
        <v>331</v>
      </c>
      <c r="B49" s="233" t="s">
        <v>248</v>
      </c>
      <c r="C49" s="294" t="s">
        <v>247</v>
      </c>
      <c r="D49" s="235">
        <f>IF(E49=Listas!$A$3,1,0)</f>
        <v>0</v>
      </c>
      <c r="E49" s="236" t="str">
        <f t="shared" si="0"/>
        <v>No</v>
      </c>
      <c r="F49" s="237" t="str">
        <f t="shared" si="1"/>
        <v/>
      </c>
      <c r="G49" s="203"/>
    </row>
    <row r="50" spans="1:7" s="64" customFormat="1" ht="25.5" x14ac:dyDescent="0.2">
      <c r="A50" s="183" t="s">
        <v>331</v>
      </c>
      <c r="B50" s="238" t="s">
        <v>250</v>
      </c>
      <c r="C50" s="293" t="s">
        <v>249</v>
      </c>
      <c r="D50" s="240">
        <f>IF(E50=Listas!$A$3,1,0)</f>
        <v>0</v>
      </c>
      <c r="E50" s="241" t="str">
        <f t="shared" si="0"/>
        <v>No</v>
      </c>
      <c r="F50" s="242" t="str">
        <f t="shared" si="1"/>
        <v/>
      </c>
      <c r="G50" s="203"/>
    </row>
    <row r="51" spans="1:7" s="64" customFormat="1" ht="12.75" x14ac:dyDescent="0.2">
      <c r="A51" s="183" t="s">
        <v>331</v>
      </c>
      <c r="B51" s="233" t="s">
        <v>252</v>
      </c>
      <c r="C51" s="294" t="s">
        <v>251</v>
      </c>
      <c r="D51" s="235">
        <f>IF(E51=Listas!$A$3,1,0)</f>
        <v>0</v>
      </c>
      <c r="E51" s="236" t="str">
        <f t="shared" si="0"/>
        <v>No</v>
      </c>
      <c r="F51" s="237" t="str">
        <f t="shared" si="1"/>
        <v/>
      </c>
      <c r="G51" s="203"/>
    </row>
    <row r="52" spans="1:7" s="64" customFormat="1" ht="25.5" x14ac:dyDescent="0.2">
      <c r="A52" s="183" t="s">
        <v>331</v>
      </c>
      <c r="B52" s="238" t="s">
        <v>254</v>
      </c>
      <c r="C52" s="293" t="s">
        <v>253</v>
      </c>
      <c r="D52" s="240">
        <f>IF(E52=Listas!$A$3,1,0)</f>
        <v>0</v>
      </c>
      <c r="E52" s="241" t="str">
        <f t="shared" si="0"/>
        <v>No</v>
      </c>
      <c r="F52" s="242" t="str">
        <f t="shared" si="1"/>
        <v/>
      </c>
      <c r="G52" s="203"/>
    </row>
    <row r="53" spans="1:7" s="64" customFormat="1" ht="25.5" x14ac:dyDescent="0.2">
      <c r="A53" s="183" t="s">
        <v>331</v>
      </c>
      <c r="B53" s="233" t="s">
        <v>256</v>
      </c>
      <c r="C53" s="294" t="s">
        <v>255</v>
      </c>
      <c r="D53" s="235">
        <f>IF(E53=Listas!$A$3,1,0)</f>
        <v>0</v>
      </c>
      <c r="E53" s="236" t="str">
        <f t="shared" si="0"/>
        <v>No</v>
      </c>
      <c r="F53" s="237" t="str">
        <f t="shared" si="1"/>
        <v/>
      </c>
      <c r="G53" s="203"/>
    </row>
    <row r="54" spans="1:7" s="64" customFormat="1" ht="25.5" x14ac:dyDescent="0.2">
      <c r="A54" s="183" t="s">
        <v>331</v>
      </c>
      <c r="B54" s="238" t="s">
        <v>258</v>
      </c>
      <c r="C54" s="293" t="s">
        <v>257</v>
      </c>
      <c r="D54" s="240">
        <f>IF(E54=Listas!$A$3,1,0)</f>
        <v>0</v>
      </c>
      <c r="E54" s="241" t="str">
        <f t="shared" si="0"/>
        <v>No</v>
      </c>
      <c r="F54" s="242" t="str">
        <f t="shared" si="1"/>
        <v/>
      </c>
      <c r="G54" s="203"/>
    </row>
    <row r="55" spans="1:7" s="64" customFormat="1" ht="12.75" x14ac:dyDescent="0.2">
      <c r="A55" s="183" t="s">
        <v>331</v>
      </c>
      <c r="B55" s="233" t="s">
        <v>260</v>
      </c>
      <c r="C55" s="294" t="s">
        <v>259</v>
      </c>
      <c r="D55" s="235">
        <f>IF(E55=Listas!$A$3,1,0)</f>
        <v>0</v>
      </c>
      <c r="E55" s="236" t="str">
        <f t="shared" si="0"/>
        <v>No</v>
      </c>
      <c r="F55" s="237" t="str">
        <f t="shared" si="1"/>
        <v/>
      </c>
      <c r="G55" s="203"/>
    </row>
    <row r="56" spans="1:7" s="64" customFormat="1" ht="38.25" x14ac:dyDescent="0.2">
      <c r="A56" s="183" t="s">
        <v>331</v>
      </c>
      <c r="B56" s="238" t="s">
        <v>262</v>
      </c>
      <c r="C56" s="293" t="s">
        <v>261</v>
      </c>
      <c r="D56" s="240">
        <f>IF(E56=Listas!$A$3,1,0)</f>
        <v>0</v>
      </c>
      <c r="E56" s="241" t="str">
        <f t="shared" si="0"/>
        <v>No</v>
      </c>
      <c r="F56" s="242" t="str">
        <f t="shared" si="1"/>
        <v/>
      </c>
      <c r="G56" s="203"/>
    </row>
    <row r="57" spans="1:7" s="64" customFormat="1" ht="38.25" x14ac:dyDescent="0.2">
      <c r="A57" s="183" t="s">
        <v>331</v>
      </c>
      <c r="B57" s="233" t="s">
        <v>264</v>
      </c>
      <c r="C57" s="294" t="s">
        <v>263</v>
      </c>
      <c r="D57" s="235">
        <f>IF(E57=Listas!$A$3,1,0)</f>
        <v>0</v>
      </c>
      <c r="E57" s="236" t="str">
        <f t="shared" si="0"/>
        <v>No</v>
      </c>
      <c r="F57" s="237" t="str">
        <f t="shared" si="1"/>
        <v/>
      </c>
      <c r="G57" s="203"/>
    </row>
    <row r="58" spans="1:7" s="64" customFormat="1" ht="12.75" x14ac:dyDescent="0.2">
      <c r="A58" s="183" t="s">
        <v>331</v>
      </c>
      <c r="B58" s="238" t="s">
        <v>266</v>
      </c>
      <c r="C58" s="293" t="s">
        <v>265</v>
      </c>
      <c r="D58" s="240">
        <f>IF(E58=Listas!$A$3,1,0)</f>
        <v>0</v>
      </c>
      <c r="E58" s="241" t="str">
        <f t="shared" si="0"/>
        <v>No</v>
      </c>
      <c r="F58" s="242" t="str">
        <f t="shared" si="1"/>
        <v/>
      </c>
      <c r="G58" s="203"/>
    </row>
    <row r="59" spans="1:7" s="64" customFormat="1" ht="12.75" x14ac:dyDescent="0.2">
      <c r="A59" s="183" t="s">
        <v>331</v>
      </c>
      <c r="B59" s="233" t="s">
        <v>268</v>
      </c>
      <c r="C59" s="294" t="s">
        <v>267</v>
      </c>
      <c r="D59" s="235">
        <f>IF(E59=Listas!$A$3,1,0)</f>
        <v>0</v>
      </c>
      <c r="E59" s="236" t="str">
        <f t="shared" si="0"/>
        <v>No</v>
      </c>
      <c r="F59" s="237" t="str">
        <f t="shared" si="1"/>
        <v/>
      </c>
      <c r="G59" s="203"/>
    </row>
    <row r="60" spans="1:7" s="64" customFormat="1" ht="25.5" x14ac:dyDescent="0.2">
      <c r="A60" s="183" t="s">
        <v>331</v>
      </c>
      <c r="B60" s="238" t="s">
        <v>270</v>
      </c>
      <c r="C60" s="293" t="s">
        <v>269</v>
      </c>
      <c r="D60" s="240">
        <f>IF(E60=Listas!$A$3,1,0)</f>
        <v>0</v>
      </c>
      <c r="E60" s="241" t="str">
        <f t="shared" si="0"/>
        <v>No</v>
      </c>
      <c r="F60" s="242" t="str">
        <f t="shared" si="1"/>
        <v/>
      </c>
      <c r="G60" s="203"/>
    </row>
    <row r="61" spans="1:7" s="64" customFormat="1" ht="25.5" x14ac:dyDescent="0.2">
      <c r="A61" s="183" t="s">
        <v>331</v>
      </c>
      <c r="B61" s="233" t="s">
        <v>272</v>
      </c>
      <c r="C61" s="294" t="s">
        <v>271</v>
      </c>
      <c r="D61" s="235">
        <f>IF(E61=Listas!$A$3,1,0)</f>
        <v>0</v>
      </c>
      <c r="E61" s="236" t="str">
        <f t="shared" si="0"/>
        <v>No</v>
      </c>
      <c r="F61" s="237" t="str">
        <f t="shared" si="1"/>
        <v/>
      </c>
      <c r="G61" s="203"/>
    </row>
    <row r="62" spans="1:7" s="64" customFormat="1" ht="38.25" x14ac:dyDescent="0.2">
      <c r="A62" s="183" t="s">
        <v>331</v>
      </c>
      <c r="B62" s="238" t="s">
        <v>274</v>
      </c>
      <c r="C62" s="293" t="s">
        <v>273</v>
      </c>
      <c r="D62" s="240">
        <f>IF(E62=Listas!$A$3,1,0)</f>
        <v>0</v>
      </c>
      <c r="E62" s="241" t="str">
        <f t="shared" si="0"/>
        <v>No</v>
      </c>
      <c r="F62" s="242" t="str">
        <f t="shared" si="1"/>
        <v/>
      </c>
      <c r="G62" s="203"/>
    </row>
    <row r="63" spans="1:7" s="64" customFormat="1" ht="38.25" x14ac:dyDescent="0.2">
      <c r="A63" s="183" t="s">
        <v>331</v>
      </c>
      <c r="B63" s="233" t="s">
        <v>276</v>
      </c>
      <c r="C63" s="294" t="s">
        <v>275</v>
      </c>
      <c r="D63" s="235">
        <f>IF(E63=Listas!$A$3,1,0)</f>
        <v>0</v>
      </c>
      <c r="E63" s="236" t="str">
        <f t="shared" si="0"/>
        <v>No</v>
      </c>
      <c r="F63" s="237" t="str">
        <f t="shared" si="1"/>
        <v/>
      </c>
      <c r="G63" s="203"/>
    </row>
    <row r="64" spans="1:7" s="64" customFormat="1" ht="25.5" x14ac:dyDescent="0.2">
      <c r="A64" s="183" t="s">
        <v>331</v>
      </c>
      <c r="B64" s="238" t="s">
        <v>278</v>
      </c>
      <c r="C64" s="293" t="s">
        <v>277</v>
      </c>
      <c r="D64" s="240">
        <f>IF(E64=Listas!$A$3,1,0)</f>
        <v>0</v>
      </c>
      <c r="E64" s="241" t="str">
        <f t="shared" si="0"/>
        <v>No</v>
      </c>
      <c r="F64" s="242" t="str">
        <f t="shared" si="1"/>
        <v/>
      </c>
      <c r="G64" s="203"/>
    </row>
    <row r="65" spans="1:7" s="64" customFormat="1" ht="12.75" x14ac:dyDescent="0.2">
      <c r="A65" s="183" t="s">
        <v>331</v>
      </c>
      <c r="B65" s="233" t="s">
        <v>280</v>
      </c>
      <c r="C65" s="294" t="s">
        <v>279</v>
      </c>
      <c r="D65" s="235">
        <f>IF(E65=Listas!$A$3,1,0)</f>
        <v>0</v>
      </c>
      <c r="E65" s="236" t="str">
        <f t="shared" si="0"/>
        <v>No</v>
      </c>
      <c r="F65" s="237" t="str">
        <f t="shared" si="1"/>
        <v/>
      </c>
      <c r="G65" s="203"/>
    </row>
    <row r="66" spans="1:7" s="64" customFormat="1" ht="25.5" x14ac:dyDescent="0.2">
      <c r="A66" s="183" t="s">
        <v>331</v>
      </c>
      <c r="B66" s="238" t="s">
        <v>282</v>
      </c>
      <c r="C66" s="293" t="s">
        <v>281</v>
      </c>
      <c r="D66" s="240">
        <f>IF(E66=Listas!$A$3,1,0)</f>
        <v>0</v>
      </c>
      <c r="E66" s="241" t="str">
        <f t="shared" si="0"/>
        <v>No</v>
      </c>
      <c r="F66" s="242" t="str">
        <f t="shared" si="1"/>
        <v/>
      </c>
      <c r="G66" s="203"/>
    </row>
    <row r="67" spans="1:7" s="64" customFormat="1" ht="25.5" x14ac:dyDescent="0.2">
      <c r="A67" s="183" t="s">
        <v>331</v>
      </c>
      <c r="B67" s="233" t="s">
        <v>284</v>
      </c>
      <c r="C67" s="294" t="s">
        <v>283</v>
      </c>
      <c r="D67" s="235">
        <f>IF(E67=Listas!$A$3,1,0)</f>
        <v>0</v>
      </c>
      <c r="E67" s="236" t="str">
        <f t="shared" si="0"/>
        <v>No</v>
      </c>
      <c r="F67" s="237" t="str">
        <f t="shared" si="1"/>
        <v/>
      </c>
      <c r="G67" s="203"/>
    </row>
    <row r="68" spans="1:7" s="64" customFormat="1" ht="25.5" x14ac:dyDescent="0.2">
      <c r="A68" s="183" t="s">
        <v>331</v>
      </c>
      <c r="B68" s="238" t="s">
        <v>286</v>
      </c>
      <c r="C68" s="293" t="s">
        <v>285</v>
      </c>
      <c r="D68" s="240">
        <f>IF(E68=Listas!$A$3,1,0)</f>
        <v>0</v>
      </c>
      <c r="E68" s="241" t="str">
        <f t="shared" si="0"/>
        <v>No</v>
      </c>
      <c r="F68" s="242" t="str">
        <f t="shared" si="1"/>
        <v/>
      </c>
      <c r="G68" s="203"/>
    </row>
    <row r="69" spans="1:7" s="64" customFormat="1" ht="25.5" x14ac:dyDescent="0.2">
      <c r="A69" s="183" t="s">
        <v>331</v>
      </c>
      <c r="B69" s="233" t="s">
        <v>288</v>
      </c>
      <c r="C69" s="294" t="s">
        <v>287</v>
      </c>
      <c r="D69" s="235">
        <f>IF(E69=Listas!$A$3,1,0)</f>
        <v>0</v>
      </c>
      <c r="E69" s="236" t="str">
        <f t="shared" si="0"/>
        <v>No</v>
      </c>
      <c r="F69" s="237" t="str">
        <f t="shared" si="1"/>
        <v/>
      </c>
      <c r="G69" s="203"/>
    </row>
    <row r="70" spans="1:7" s="64" customFormat="1" ht="25.5" x14ac:dyDescent="0.2">
      <c r="A70" s="183" t="s">
        <v>331</v>
      </c>
      <c r="B70" s="238" t="s">
        <v>290</v>
      </c>
      <c r="C70" s="293" t="s">
        <v>289</v>
      </c>
      <c r="D70" s="240">
        <f>IF(E70=Listas!$A$3,1,0)</f>
        <v>0</v>
      </c>
      <c r="E70" s="241" t="str">
        <f t="shared" si="0"/>
        <v>No</v>
      </c>
      <c r="F70" s="242" t="str">
        <f t="shared" si="1"/>
        <v/>
      </c>
      <c r="G70" s="203"/>
    </row>
    <row r="71" spans="1:7" s="64" customFormat="1" ht="25.5" x14ac:dyDescent="0.2">
      <c r="A71" s="183" t="s">
        <v>331</v>
      </c>
      <c r="B71" s="233" t="s">
        <v>292</v>
      </c>
      <c r="C71" s="294" t="s">
        <v>291</v>
      </c>
      <c r="D71" s="235">
        <f>IF(E71=Listas!$A$3,1,0)</f>
        <v>0</v>
      </c>
      <c r="E71" s="236" t="str">
        <f t="shared" si="0"/>
        <v>No</v>
      </c>
      <c r="F71" s="237" t="str">
        <f t="shared" si="1"/>
        <v/>
      </c>
      <c r="G71" s="203"/>
    </row>
    <row r="72" spans="1:7" s="64" customFormat="1" ht="38.25" x14ac:dyDescent="0.2">
      <c r="A72" s="183" t="s">
        <v>331</v>
      </c>
      <c r="B72" s="238" t="s">
        <v>294</v>
      </c>
      <c r="C72" s="293" t="s">
        <v>293</v>
      </c>
      <c r="D72" s="240">
        <f>IF(E72=Listas!$A$3,1,0)</f>
        <v>0</v>
      </c>
      <c r="E72" s="241" t="str">
        <f t="shared" si="0"/>
        <v>No</v>
      </c>
      <c r="F72" s="242" t="str">
        <f t="shared" si="1"/>
        <v/>
      </c>
      <c r="G72" s="203"/>
    </row>
    <row r="73" spans="1:7" s="64" customFormat="1" ht="38.25" x14ac:dyDescent="0.2">
      <c r="A73" s="183" t="s">
        <v>331</v>
      </c>
      <c r="B73" s="233" t="s">
        <v>296</v>
      </c>
      <c r="C73" s="294" t="s">
        <v>295</v>
      </c>
      <c r="D73" s="235">
        <f>IF(E73=Listas!$A$3,1,0)</f>
        <v>0</v>
      </c>
      <c r="E73" s="236" t="str">
        <f t="shared" si="0"/>
        <v>No</v>
      </c>
      <c r="F73" s="237" t="str">
        <f t="shared" si="1"/>
        <v/>
      </c>
      <c r="G73" s="203"/>
    </row>
    <row r="74" spans="1:7" s="64" customFormat="1" ht="25.5" x14ac:dyDescent="0.2">
      <c r="A74" s="183" t="s">
        <v>331</v>
      </c>
      <c r="B74" s="238" t="s">
        <v>298</v>
      </c>
      <c r="C74" s="293" t="s">
        <v>297</v>
      </c>
      <c r="D74" s="240">
        <f>IF(E74=Listas!$A$3,1,0)</f>
        <v>0</v>
      </c>
      <c r="E74" s="241" t="str">
        <f t="shared" si="0"/>
        <v>No</v>
      </c>
      <c r="F74" s="242" t="str">
        <f t="shared" si="1"/>
        <v/>
      </c>
      <c r="G74" s="203"/>
    </row>
    <row r="75" spans="1:7" s="64" customFormat="1" ht="25.5" x14ac:dyDescent="0.2">
      <c r="A75" s="183" t="s">
        <v>331</v>
      </c>
      <c r="B75" s="233" t="s">
        <v>300</v>
      </c>
      <c r="C75" s="294" t="s">
        <v>299</v>
      </c>
      <c r="D75" s="235">
        <f>IF(E75=Listas!$A$3,1,0)</f>
        <v>0</v>
      </c>
      <c r="E75" s="236" t="str">
        <f t="shared" ref="E75:E90" si="2">IF(G75&lt;&gt;"","Si","No")</f>
        <v>No</v>
      </c>
      <c r="F75" s="237" t="str">
        <f t="shared" ref="F75:F90" si="3">IF(E75="Si","X","")</f>
        <v/>
      </c>
      <c r="G75" s="203"/>
    </row>
    <row r="76" spans="1:7" s="64" customFormat="1" ht="12.75" x14ac:dyDescent="0.2">
      <c r="A76" s="183" t="s">
        <v>331</v>
      </c>
      <c r="B76" s="238" t="s">
        <v>302</v>
      </c>
      <c r="C76" s="293" t="s">
        <v>301</v>
      </c>
      <c r="D76" s="240">
        <f>IF(E76=Listas!$A$3,1,0)</f>
        <v>0</v>
      </c>
      <c r="E76" s="241" t="str">
        <f t="shared" si="2"/>
        <v>No</v>
      </c>
      <c r="F76" s="242" t="str">
        <f t="shared" si="3"/>
        <v/>
      </c>
      <c r="G76" s="203"/>
    </row>
    <row r="77" spans="1:7" s="64" customFormat="1" ht="25.5" x14ac:dyDescent="0.2">
      <c r="A77" s="183" t="s">
        <v>331</v>
      </c>
      <c r="B77" s="233" t="s">
        <v>304</v>
      </c>
      <c r="C77" s="294" t="s">
        <v>303</v>
      </c>
      <c r="D77" s="235">
        <f>IF(E77=Listas!$A$3,1,0)</f>
        <v>0</v>
      </c>
      <c r="E77" s="236" t="str">
        <f t="shared" si="2"/>
        <v>No</v>
      </c>
      <c r="F77" s="237" t="str">
        <f t="shared" si="3"/>
        <v/>
      </c>
      <c r="G77" s="203"/>
    </row>
    <row r="78" spans="1:7" s="64" customFormat="1" ht="25.5" x14ac:dyDescent="0.2">
      <c r="A78" s="183" t="s">
        <v>331</v>
      </c>
      <c r="B78" s="238" t="s">
        <v>306</v>
      </c>
      <c r="C78" s="293" t="s">
        <v>305</v>
      </c>
      <c r="D78" s="240">
        <f>IF(E78=Listas!$A$3,1,0)</f>
        <v>0</v>
      </c>
      <c r="E78" s="241" t="str">
        <f t="shared" si="2"/>
        <v>No</v>
      </c>
      <c r="F78" s="242" t="str">
        <f t="shared" si="3"/>
        <v/>
      </c>
      <c r="G78" s="203"/>
    </row>
    <row r="79" spans="1:7" s="64" customFormat="1" ht="12.75" x14ac:dyDescent="0.2">
      <c r="A79" s="183" t="s">
        <v>331</v>
      </c>
      <c r="B79" s="233" t="s">
        <v>308</v>
      </c>
      <c r="C79" s="294" t="s">
        <v>307</v>
      </c>
      <c r="D79" s="235">
        <f>IF(E79=Listas!$A$3,1,0)</f>
        <v>0</v>
      </c>
      <c r="E79" s="236" t="str">
        <f t="shared" si="2"/>
        <v>No</v>
      </c>
      <c r="F79" s="237" t="str">
        <f t="shared" si="3"/>
        <v/>
      </c>
      <c r="G79" s="203"/>
    </row>
    <row r="80" spans="1:7" s="64" customFormat="1" ht="38.25" x14ac:dyDescent="0.2">
      <c r="A80" s="183" t="s">
        <v>331</v>
      </c>
      <c r="B80" s="238" t="s">
        <v>310</v>
      </c>
      <c r="C80" s="293" t="s">
        <v>309</v>
      </c>
      <c r="D80" s="240">
        <f>IF(E80=Listas!$A$3,1,0)</f>
        <v>0</v>
      </c>
      <c r="E80" s="241" t="str">
        <f t="shared" si="2"/>
        <v>No</v>
      </c>
      <c r="F80" s="242" t="str">
        <f t="shared" si="3"/>
        <v/>
      </c>
      <c r="G80" s="203"/>
    </row>
    <row r="81" spans="1:7" s="64" customFormat="1" ht="25.5" x14ac:dyDescent="0.2">
      <c r="A81" s="183" t="s">
        <v>331</v>
      </c>
      <c r="B81" s="233" t="s">
        <v>312</v>
      </c>
      <c r="C81" s="294" t="s">
        <v>311</v>
      </c>
      <c r="D81" s="235">
        <f>IF(E81=Listas!$A$3,1,0)</f>
        <v>0</v>
      </c>
      <c r="E81" s="236" t="str">
        <f t="shared" si="2"/>
        <v>No</v>
      </c>
      <c r="F81" s="237" t="str">
        <f t="shared" si="3"/>
        <v/>
      </c>
      <c r="G81" s="203"/>
    </row>
    <row r="82" spans="1:7" s="64" customFormat="1" ht="25.5" x14ac:dyDescent="0.2">
      <c r="A82" s="183" t="s">
        <v>331</v>
      </c>
      <c r="B82" s="238" t="s">
        <v>314</v>
      </c>
      <c r="C82" s="293" t="s">
        <v>313</v>
      </c>
      <c r="D82" s="240">
        <f>IF(E82=Listas!$A$3,1,0)</f>
        <v>0</v>
      </c>
      <c r="E82" s="241" t="str">
        <f t="shared" si="2"/>
        <v>No</v>
      </c>
      <c r="F82" s="242" t="str">
        <f t="shared" si="3"/>
        <v/>
      </c>
      <c r="G82" s="203"/>
    </row>
    <row r="83" spans="1:7" s="64" customFormat="1" ht="25.5" x14ac:dyDescent="0.2">
      <c r="A83" s="183" t="s">
        <v>331</v>
      </c>
      <c r="B83" s="233" t="s">
        <v>316</v>
      </c>
      <c r="C83" s="294" t="s">
        <v>315</v>
      </c>
      <c r="D83" s="235">
        <f>IF(E83=Listas!$A$3,1,0)</f>
        <v>0</v>
      </c>
      <c r="E83" s="236" t="str">
        <f t="shared" si="2"/>
        <v>No</v>
      </c>
      <c r="F83" s="237" t="str">
        <f t="shared" si="3"/>
        <v/>
      </c>
      <c r="G83" s="203"/>
    </row>
    <row r="84" spans="1:7" s="64" customFormat="1" ht="12.75" x14ac:dyDescent="0.2">
      <c r="A84" s="183" t="s">
        <v>331</v>
      </c>
      <c r="B84" s="238" t="s">
        <v>318</v>
      </c>
      <c r="C84" s="293" t="s">
        <v>317</v>
      </c>
      <c r="D84" s="240">
        <f>IF(E84=Listas!$A$3,1,0)</f>
        <v>0</v>
      </c>
      <c r="E84" s="241" t="str">
        <f t="shared" si="2"/>
        <v>No</v>
      </c>
      <c r="F84" s="242" t="str">
        <f t="shared" si="3"/>
        <v/>
      </c>
      <c r="G84" s="203"/>
    </row>
    <row r="85" spans="1:7" s="64" customFormat="1" ht="12.75" x14ac:dyDescent="0.2">
      <c r="A85" s="183" t="s">
        <v>331</v>
      </c>
      <c r="B85" s="233" t="s">
        <v>320</v>
      </c>
      <c r="C85" s="294" t="s">
        <v>319</v>
      </c>
      <c r="D85" s="235">
        <f>IF(E85=Listas!$A$3,1,0)</f>
        <v>0</v>
      </c>
      <c r="E85" s="236" t="str">
        <f t="shared" si="2"/>
        <v>No</v>
      </c>
      <c r="F85" s="237" t="str">
        <f t="shared" si="3"/>
        <v/>
      </c>
      <c r="G85" s="203"/>
    </row>
    <row r="86" spans="1:7" s="64" customFormat="1" ht="38.25" x14ac:dyDescent="0.2">
      <c r="A86" s="183" t="s">
        <v>331</v>
      </c>
      <c r="B86" s="238" t="s">
        <v>322</v>
      </c>
      <c r="C86" s="293" t="s">
        <v>321</v>
      </c>
      <c r="D86" s="240">
        <f>IF(E86=Listas!$A$3,1,0)</f>
        <v>0</v>
      </c>
      <c r="E86" s="241" t="str">
        <f t="shared" si="2"/>
        <v>No</v>
      </c>
      <c r="F86" s="242" t="str">
        <f t="shared" si="3"/>
        <v/>
      </c>
      <c r="G86" s="203"/>
    </row>
    <row r="87" spans="1:7" s="64" customFormat="1" ht="51" x14ac:dyDescent="0.2">
      <c r="A87" s="183" t="s">
        <v>331</v>
      </c>
      <c r="B87" s="233" t="s">
        <v>324</v>
      </c>
      <c r="C87" s="294" t="s">
        <v>323</v>
      </c>
      <c r="D87" s="235">
        <f>IF(E87=Listas!$A$3,1,0)</f>
        <v>0</v>
      </c>
      <c r="E87" s="236" t="str">
        <f t="shared" si="2"/>
        <v>No</v>
      </c>
      <c r="F87" s="237" t="str">
        <f t="shared" si="3"/>
        <v/>
      </c>
      <c r="G87" s="203"/>
    </row>
    <row r="88" spans="1:7" s="64" customFormat="1" ht="25.5" x14ac:dyDescent="0.2">
      <c r="A88" s="183" t="s">
        <v>331</v>
      </c>
      <c r="B88" s="238" t="s">
        <v>326</v>
      </c>
      <c r="C88" s="293" t="s">
        <v>325</v>
      </c>
      <c r="D88" s="240">
        <f>IF(E88=Listas!$A$3,1,0)</f>
        <v>0</v>
      </c>
      <c r="E88" s="241" t="str">
        <f t="shared" si="2"/>
        <v>No</v>
      </c>
      <c r="F88" s="242" t="str">
        <f t="shared" si="3"/>
        <v/>
      </c>
      <c r="G88" s="203"/>
    </row>
    <row r="89" spans="1:7" s="64" customFormat="1" ht="38.25" x14ac:dyDescent="0.2">
      <c r="A89" s="183" t="s">
        <v>331</v>
      </c>
      <c r="B89" s="233" t="s">
        <v>328</v>
      </c>
      <c r="C89" s="294" t="s">
        <v>327</v>
      </c>
      <c r="D89" s="235">
        <f>IF(E89=Listas!$A$3,1,0)</f>
        <v>0</v>
      </c>
      <c r="E89" s="236" t="str">
        <f t="shared" si="2"/>
        <v>No</v>
      </c>
      <c r="F89" s="237" t="str">
        <f t="shared" si="3"/>
        <v/>
      </c>
      <c r="G89" s="203"/>
    </row>
    <row r="90" spans="1:7" s="64" customFormat="1" ht="39" thickBot="1" x14ac:dyDescent="0.25">
      <c r="A90" s="183" t="s">
        <v>331</v>
      </c>
      <c r="B90" s="295" t="s">
        <v>330</v>
      </c>
      <c r="C90" s="296" t="s">
        <v>329</v>
      </c>
      <c r="D90" s="297">
        <f>IF(E90=Listas!$A$3,1,0)</f>
        <v>0</v>
      </c>
      <c r="E90" s="298" t="str">
        <f t="shared" si="2"/>
        <v>No</v>
      </c>
      <c r="F90" s="299" t="str">
        <f t="shared" si="3"/>
        <v/>
      </c>
      <c r="G90" s="220"/>
    </row>
  </sheetData>
  <sheetProtection algorithmName="SHA-512" hashValue="e4DKat4K56/4dSah+ij4wbg786k/5SgUDiX7FctV6dwwMiEa5kRmIbVdoZcVww5yLvmNtEOjGR/PaBy6R1GikA==" saltValue="uc6DKHQEEZmJt/dCCchLZQ==" spinCount="100000" sheet="1" autoFilter="0"/>
  <autoFilter ref="A7:G90" xr:uid="{8B05247C-138D-4A64-A0F0-DD12BACDBF01}"/>
  <mergeCells count="3">
    <mergeCell ref="C2:E2"/>
    <mergeCell ref="C3:E3"/>
    <mergeCell ref="B1:C1"/>
  </mergeCells>
  <dataValidations count="2">
    <dataValidation type="date" allowBlank="1" showInputMessage="1" showErrorMessage="1" errorTitle="Fecha no valida" error="Introducir una fecha de la convocatoria 2018" promptTitle="Introducir Fecha" prompt="Convocatoria 2018" sqref="C4:C5" xr:uid="{606C3EA0-43A0-46C5-A9B4-4C4117E12B95}">
      <formula1>43405</formula1>
      <formula2>43496</formula2>
    </dataValidation>
    <dataValidation allowBlank="1" showInputMessage="1" showErrorMessage="1" prompt="Justifique el elemento para que pueda ser valorado y puntuado en el criterio CS14" sqref="G11:G90" xr:uid="{AB3DBC38-7F4B-43EB-8D56-F93D49CEC13E}"/>
  </dataValidations>
  <pageMargins left="0.35433070866141736" right="0.15748031496062992" top="1.1417322834645669" bottom="0.78740157480314965" header="0.31496062992125984" footer="0.31496062992125984"/>
  <pageSetup paperSize="9" scale="66"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promptTitle="Elegir valor de la lista" prompt="Municipio o Comarcca" xr:uid="{57AC888A-105E-4876-B2A5-79F733470442}">
          <x14:formula1>
            <xm:f>Listas!$A$11:$A$21</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7030A0"/>
    <pageSetUpPr fitToPage="1"/>
  </sheetPr>
  <dimension ref="A1:R93"/>
  <sheetViews>
    <sheetView topLeftCell="B1" zoomScaleNormal="100" zoomScaleSheetLayoutView="110" workbookViewId="0">
      <selection activeCell="H9" sqref="H9:I9"/>
    </sheetView>
  </sheetViews>
  <sheetFormatPr baseColWidth="10" defaultColWidth="11.42578125" defaultRowHeight="15" x14ac:dyDescent="0.25"/>
  <cols>
    <col min="1" max="1" width="7.5703125" style="17" hidden="1" customWidth="1"/>
    <col min="2" max="2" width="8" style="17" customWidth="1"/>
    <col min="3" max="3" width="31.85546875" style="17" customWidth="1"/>
    <col min="4" max="4" width="28.140625" style="17" customWidth="1"/>
    <col min="5" max="6" width="15" style="17" customWidth="1"/>
    <col min="7" max="7" width="8.5703125" style="17" customWidth="1"/>
    <col min="8" max="8" width="13.42578125" style="17" customWidth="1"/>
    <col min="9" max="9" width="8.5703125" style="17" customWidth="1"/>
    <col min="10" max="10" width="14.42578125" style="17" customWidth="1"/>
    <col min="11" max="11" width="7.42578125" style="17" bestFit="1" customWidth="1"/>
    <col min="12" max="12" width="15" style="17" customWidth="1"/>
    <col min="13" max="13" width="8.5703125" style="17" customWidth="1"/>
    <col min="14" max="14" width="15" style="17" customWidth="1"/>
    <col min="15" max="15" width="8.5703125" style="17" customWidth="1"/>
    <col min="16" max="16" width="15" style="17" customWidth="1"/>
    <col min="17" max="17" width="8.5703125" style="17" customWidth="1"/>
    <col min="18" max="16384" width="11.42578125" style="17"/>
  </cols>
  <sheetData>
    <row r="1" spans="1:18" ht="24.75" customHeight="1" thickTop="1" thickBot="1" x14ac:dyDescent="0.4">
      <c r="A1" s="18"/>
      <c r="B1" s="636" t="str">
        <f>"BALANCE Y CUENTA RESULTADOS  PROYECTOS "&amp;LEFT(Baremo!C8,8)</f>
        <v xml:space="preserve">BALANCE Y CUENTA RESULTADOS  PROYECTOS Linea 3 </v>
      </c>
      <c r="C1" s="636"/>
      <c r="D1" s="636"/>
      <c r="E1" s="636"/>
      <c r="F1" s="636"/>
      <c r="G1" s="636"/>
      <c r="H1" s="636"/>
      <c r="I1" s="636"/>
      <c r="J1" s="636"/>
      <c r="K1" s="636"/>
      <c r="L1" s="300"/>
      <c r="M1" s="705" t="str">
        <f>Baremo!J1</f>
        <v xml:space="preserve">  GDR: JA07  Convocatoria: 2020</v>
      </c>
      <c r="N1" s="706"/>
      <c r="O1" s="706"/>
      <c r="P1" s="706"/>
      <c r="Q1" s="707"/>
    </row>
    <row r="2" spans="1:18" ht="16.5" thickTop="1" thickBot="1" x14ac:dyDescent="0.3">
      <c r="A2" s="18"/>
      <c r="B2" s="166" t="str">
        <f>Baremo!B2</f>
        <v>Proyecto:</v>
      </c>
      <c r="C2" s="645" t="str">
        <f>IF(Baremo!C2:I2=0,"",Baremo!C2:I2)</f>
        <v/>
      </c>
      <c r="D2" s="645"/>
      <c r="E2" s="645"/>
      <c r="F2" s="645"/>
      <c r="G2" s="645"/>
      <c r="H2" s="645"/>
      <c r="I2" s="167"/>
      <c r="J2" s="167"/>
      <c r="K2" s="167"/>
      <c r="L2" s="167"/>
      <c r="M2" s="167"/>
      <c r="N2" s="167"/>
      <c r="O2" s="167"/>
      <c r="P2" s="167"/>
      <c r="Q2" s="167"/>
    </row>
    <row r="3" spans="1:18" ht="15.75" customHeight="1" thickTop="1" thickBot="1" x14ac:dyDescent="0.3">
      <c r="A3" s="18"/>
      <c r="B3" s="168" t="str">
        <f>Baremo!B3</f>
        <v>Solicitante:</v>
      </c>
      <c r="C3" s="646" t="str">
        <f>IF(Baremo!C3:I3=0,"",Baremo!C3:I3)</f>
        <v/>
      </c>
      <c r="D3" s="646"/>
      <c r="E3" s="646"/>
      <c r="F3" s="646"/>
      <c r="G3" s="646"/>
      <c r="H3" s="646"/>
      <c r="I3" s="169" t="str">
        <f>IF(Baremo!G10=1,Listas!A45,Listas!A44)</f>
        <v>Nueva Empresa (Balances previsionales)</v>
      </c>
      <c r="J3" s="170"/>
      <c r="K3" s="170"/>
      <c r="L3" s="170"/>
      <c r="M3" s="170" t="str">
        <f>IF(Baremo!$G$10="1",Listas!E45,"")</f>
        <v/>
      </c>
      <c r="N3" s="170"/>
      <c r="O3" s="170"/>
      <c r="P3" s="170"/>
      <c r="Q3" s="170"/>
    </row>
    <row r="4" spans="1:18" ht="16.5" thickTop="1" thickBot="1" x14ac:dyDescent="0.3">
      <c r="A4" s="18"/>
      <c r="B4" s="168" t="str">
        <f>Baremo!B4</f>
        <v>Municipio:</v>
      </c>
      <c r="C4" s="646" t="str">
        <f>IF(Baremo!C4:I4=0,"",Baremo!C4:I4)</f>
        <v/>
      </c>
      <c r="D4" s="646"/>
      <c r="E4" s="171" t="str">
        <f>IF(E27-E49&lt;&gt;0,E27-E49,"")</f>
        <v/>
      </c>
      <c r="F4" s="171" t="str">
        <f>IF(F27-F49&lt;&gt;0,F27-F49,"")</f>
        <v/>
      </c>
      <c r="G4" s="172"/>
      <c r="H4" s="171" t="str">
        <f>IF(H27-H49&lt;&gt;0,H27-H49,"")</f>
        <v/>
      </c>
      <c r="I4" s="172"/>
      <c r="J4" s="171" t="str">
        <f>IF(J27-J49&lt;&gt;0,J27-J49,"")</f>
        <v/>
      </c>
      <c r="K4" s="172"/>
      <c r="L4" s="171" t="str">
        <f>IF(L27-L49&lt;&gt;0,L27-L49,"")</f>
        <v/>
      </c>
      <c r="M4" s="172"/>
      <c r="N4" s="171" t="str">
        <f>IF(N27-N49&lt;&gt;0,N27-N49,"")</f>
        <v/>
      </c>
      <c r="O4" s="172"/>
      <c r="P4" s="171" t="str">
        <f>IF(P27-P49&lt;&gt;0,P27-P49,"")</f>
        <v/>
      </c>
      <c r="Q4" s="172"/>
    </row>
    <row r="5" spans="1:18" ht="16.5" thickTop="1" thickBot="1" x14ac:dyDescent="0.3">
      <c r="A5" s="18"/>
      <c r="B5" s="168" t="str">
        <f>Baremo!B5</f>
        <v>Fecha</v>
      </c>
      <c r="C5" s="173">
        <f>IF(Baremo!C5:I5=0,"",Baremo!C5:I5)</f>
        <v>44136</v>
      </c>
      <c r="D5" s="174"/>
      <c r="E5" s="175" t="str">
        <f>IF(E27&lt;&gt;E49,Listas!$A$40,"")</f>
        <v/>
      </c>
      <c r="F5" s="176" t="str">
        <f>IF(F27&lt;&gt;F49,Listas!$A$40,"")</f>
        <v/>
      </c>
      <c r="G5" s="176"/>
      <c r="H5" s="176" t="str">
        <f>IF(H27&lt;&gt;H49,Listas!$A$40,"")</f>
        <v/>
      </c>
      <c r="I5" s="33"/>
      <c r="J5" s="176" t="str">
        <f>IF(J27&lt;&gt;J49,Listas!$A$40,"")</f>
        <v/>
      </c>
      <c r="K5" s="33"/>
      <c r="L5" s="176" t="str">
        <f>IF(L27&lt;&gt;L49,Listas!$A$40,"")</f>
        <v/>
      </c>
      <c r="M5" s="33"/>
      <c r="N5" s="176" t="str">
        <f>IF(N27&lt;&gt;N49,Listas!$A$40,"")</f>
        <v/>
      </c>
      <c r="O5" s="33"/>
      <c r="P5" s="176" t="str">
        <f>IF(P27&lt;&gt;P49,Listas!$A$40,"")</f>
        <v/>
      </c>
      <c r="Q5" s="33"/>
    </row>
    <row r="6" spans="1:18" ht="12" customHeight="1" thickTop="1" thickBot="1" x14ac:dyDescent="0.3">
      <c r="A6" s="18"/>
      <c r="B6" s="177"/>
      <c r="C6" s="178"/>
      <c r="D6" s="179"/>
      <c r="E6" s="180"/>
      <c r="F6" s="52" t="str">
        <f>IF(F27=E27,Listas!$A$42,"")</f>
        <v>Revise datos ejercicio</v>
      </c>
      <c r="G6" s="52"/>
      <c r="H6" s="52" t="str">
        <f>IF(H27=F27,Listas!$A$42,"")</f>
        <v>Revise datos ejercicio</v>
      </c>
      <c r="I6" s="181"/>
      <c r="J6" s="182"/>
      <c r="K6" s="181"/>
      <c r="L6" s="52" t="str">
        <f>IF(L27=J27,Listas!$A$43,"")</f>
        <v>Revise datos previstos</v>
      </c>
      <c r="M6" s="181"/>
      <c r="N6" s="52" t="str">
        <f>IF(N27=L27,Listas!$A$43,"")</f>
        <v>Revise datos previstos</v>
      </c>
      <c r="O6" s="181"/>
      <c r="P6" s="52" t="str">
        <f>IF(P27=N27,Listas!$A$43,"")</f>
        <v>Revise datos previstos</v>
      </c>
      <c r="Q6" s="301"/>
    </row>
    <row r="7" spans="1:18" ht="9" customHeight="1" thickTop="1" thickBot="1" x14ac:dyDescent="0.3">
      <c r="A7" s="302" t="s">
        <v>339</v>
      </c>
      <c r="B7" s="303"/>
      <c r="C7" s="304"/>
      <c r="D7" s="304"/>
      <c r="E7" s="304"/>
      <c r="F7" s="304"/>
      <c r="G7" s="304"/>
      <c r="H7" s="304"/>
      <c r="I7" s="304"/>
      <c r="J7" s="304"/>
      <c r="K7" s="304"/>
      <c r="L7" s="304"/>
      <c r="M7" s="304"/>
      <c r="N7" s="304"/>
      <c r="O7" s="304"/>
      <c r="P7" s="304"/>
      <c r="Q7" s="305"/>
    </row>
    <row r="8" spans="1:18" x14ac:dyDescent="0.25">
      <c r="A8" s="306" t="s">
        <v>415</v>
      </c>
      <c r="B8" s="307"/>
      <c r="C8" s="308"/>
      <c r="D8" s="308"/>
      <c r="E8" s="692" t="str">
        <f>IF(Baremo!G10=1,Listas!A49,Listas!A50)</f>
        <v>BALANCES Y CUENTAS DE RESULTADOS "PREVISIONES"</v>
      </c>
      <c r="F8" s="692"/>
      <c r="G8" s="692"/>
      <c r="H8" s="692"/>
      <c r="I8" s="692"/>
      <c r="J8" s="692"/>
      <c r="K8" s="692"/>
      <c r="L8" s="693" t="str">
        <f>IF(Baremo!G10=2,Listas!A49,Listas!A50)</f>
        <v>BALANCES Y CUENTAS DE RESULTADOS "REALES"</v>
      </c>
      <c r="M8" s="693"/>
      <c r="N8" s="693"/>
      <c r="O8" s="693"/>
      <c r="P8" s="693"/>
      <c r="Q8" s="694"/>
    </row>
    <row r="9" spans="1:18" ht="16.5" thickBot="1" x14ac:dyDescent="0.3">
      <c r="A9" s="306" t="s">
        <v>415</v>
      </c>
      <c r="B9" s="309" t="s">
        <v>358</v>
      </c>
      <c r="C9" s="310"/>
      <c r="D9" s="310"/>
      <c r="E9" s="311">
        <f>F9-1</f>
        <v>2020</v>
      </c>
      <c r="F9" s="709">
        <f>H9-1</f>
        <v>2021</v>
      </c>
      <c r="G9" s="709"/>
      <c r="H9" s="709">
        <f>IF(Baremo!G10=1,2019+3,2019)</f>
        <v>2022</v>
      </c>
      <c r="I9" s="709"/>
      <c r="J9" s="312" t="s">
        <v>1104</v>
      </c>
      <c r="K9" s="313" t="s">
        <v>425</v>
      </c>
      <c r="L9" s="695">
        <f>H9+1</f>
        <v>2023</v>
      </c>
      <c r="M9" s="695"/>
      <c r="N9" s="695">
        <f>L9+1</f>
        <v>2024</v>
      </c>
      <c r="O9" s="695"/>
      <c r="P9" s="314">
        <f>N9+1</f>
        <v>2025</v>
      </c>
      <c r="Q9" s="315"/>
    </row>
    <row r="10" spans="1:18" ht="15.75" thickBot="1" x14ac:dyDescent="0.3">
      <c r="A10" s="316" t="s">
        <v>457</v>
      </c>
      <c r="B10" s="696" t="s">
        <v>359</v>
      </c>
      <c r="C10" s="697"/>
      <c r="D10" s="697"/>
      <c r="E10" s="318">
        <f>IF(E11=0,SUM(E12:E17),E11)</f>
        <v>0</v>
      </c>
      <c r="F10" s="318">
        <f>IF(F11=0,SUM(F12:F17),F11)</f>
        <v>0</v>
      </c>
      <c r="G10" s="319">
        <f>IF(ISNUMBER(+F10/E10-1),+F10/E10-1,0)</f>
        <v>0</v>
      </c>
      <c r="H10" s="318">
        <f>IF(H11=0,SUM(H12:H17),H11)</f>
        <v>0</v>
      </c>
      <c r="I10" s="319">
        <f>IF(ISNUMBER(+H10/F10-1),+H10/F10-1,0)</f>
        <v>0</v>
      </c>
      <c r="J10" s="318">
        <f>IF(J11=0,SUM(J12:J17),J11)</f>
        <v>0</v>
      </c>
      <c r="K10" s="319">
        <f t="shared" ref="K10:K27" si="0">IFERROR(STDEV(E10,F10,H10)/AVERAGE(E10,F10,H10),0)</f>
        <v>0</v>
      </c>
      <c r="L10" s="318">
        <f>IF(L11=0,SUM(L12:L17),L11)</f>
        <v>0</v>
      </c>
      <c r="M10" s="319">
        <f>IF(ISNUMBER(+L10/H10-1),+L10/J10-1,0)</f>
        <v>0</v>
      </c>
      <c r="N10" s="318">
        <f>IF(N11=0,SUM(N12:N17),N11)</f>
        <v>0</v>
      </c>
      <c r="O10" s="319">
        <f t="shared" ref="O10:O27" si="1">IF(ISNUMBER(+N10/L10-1),+N10/L10-1,0)</f>
        <v>0</v>
      </c>
      <c r="P10" s="318">
        <f>IF(P11=0,SUM(P12:P17),P11)</f>
        <v>0</v>
      </c>
      <c r="Q10" s="320">
        <f t="shared" ref="Q10:Q27" si="2">IF(ISNUMBER(+P10/L10-1),+P10/L10-1,0)</f>
        <v>0</v>
      </c>
      <c r="R10" s="96"/>
    </row>
    <row r="11" spans="1:18" ht="15.75" thickBot="1" x14ac:dyDescent="0.3">
      <c r="A11" s="321" t="s">
        <v>456</v>
      </c>
      <c r="B11" s="322"/>
      <c r="C11" s="686" t="str">
        <f>IF(E11&gt;0,Listas!$A$66,Listas!$A$67)</f>
        <v>…</v>
      </c>
      <c r="D11" s="687"/>
      <c r="E11" s="323">
        <v>0</v>
      </c>
      <c r="F11" s="323">
        <f t="shared" ref="F11:F17" si="3">E11</f>
        <v>0</v>
      </c>
      <c r="G11" s="324">
        <f>IF(ISNUMBER(+F11/E11-1),+F11/E11-1,0)</f>
        <v>0</v>
      </c>
      <c r="H11" s="323">
        <f t="shared" ref="H11:H17" si="4">F11</f>
        <v>0</v>
      </c>
      <c r="I11" s="324">
        <f>IF(ISNUMBER(+H11/F11-1),+H11/F11-1,0)</f>
        <v>0</v>
      </c>
      <c r="J11" s="325">
        <f t="shared" ref="J11:J17" si="5">(E11+F11+H11)/3</f>
        <v>0</v>
      </c>
      <c r="K11" s="324">
        <f t="shared" si="0"/>
        <v>0</v>
      </c>
      <c r="L11" s="323">
        <v>0</v>
      </c>
      <c r="M11" s="324">
        <f>IF(ISNUMBER(+L11/H11-1),+L11/J11-1,0)</f>
        <v>0</v>
      </c>
      <c r="N11" s="323">
        <f>J11</f>
        <v>0</v>
      </c>
      <c r="O11" s="324">
        <f t="shared" si="1"/>
        <v>0</v>
      </c>
      <c r="P11" s="323">
        <f t="shared" ref="P11:P17" si="6">L11</f>
        <v>0</v>
      </c>
      <c r="Q11" s="326">
        <f t="shared" si="2"/>
        <v>0</v>
      </c>
    </row>
    <row r="12" spans="1:18" ht="15.75" thickBot="1" x14ac:dyDescent="0.3">
      <c r="A12" s="321" t="s">
        <v>415</v>
      </c>
      <c r="B12" s="322"/>
      <c r="C12" s="698" t="s">
        <v>360</v>
      </c>
      <c r="D12" s="699"/>
      <c r="E12" s="323">
        <v>0</v>
      </c>
      <c r="F12" s="323">
        <f t="shared" si="3"/>
        <v>0</v>
      </c>
      <c r="G12" s="324">
        <f t="shared" ref="G12:G27" si="7">IF(ISNUMBER(+F12/E12-1),+F12/E12-1,0)</f>
        <v>0</v>
      </c>
      <c r="H12" s="323">
        <f t="shared" si="4"/>
        <v>0</v>
      </c>
      <c r="I12" s="324">
        <f t="shared" ref="I12:I27" si="8">IF(ISNUMBER(+H12/F12-1),+H12/F12-1,0)</f>
        <v>0</v>
      </c>
      <c r="J12" s="325">
        <f t="shared" si="5"/>
        <v>0</v>
      </c>
      <c r="K12" s="324">
        <f t="shared" si="0"/>
        <v>0</v>
      </c>
      <c r="L12" s="323">
        <f t="shared" ref="L12:L26" si="9">H12</f>
        <v>0</v>
      </c>
      <c r="M12" s="324">
        <f t="shared" ref="M12:M17" si="10">IF(ISNUMBER(+L12/H12-1),+L12/J12-1,0)</f>
        <v>0</v>
      </c>
      <c r="N12" s="323">
        <f t="shared" ref="N12:N17" si="11">J12</f>
        <v>0</v>
      </c>
      <c r="O12" s="324">
        <f t="shared" si="1"/>
        <v>0</v>
      </c>
      <c r="P12" s="323">
        <f t="shared" si="6"/>
        <v>0</v>
      </c>
      <c r="Q12" s="326">
        <f t="shared" si="2"/>
        <v>0</v>
      </c>
    </row>
    <row r="13" spans="1:18" ht="15.75" customHeight="1" thickBot="1" x14ac:dyDescent="0.3">
      <c r="A13" s="327" t="s">
        <v>415</v>
      </c>
      <c r="B13" s="328"/>
      <c r="C13" s="688" t="s">
        <v>361</v>
      </c>
      <c r="D13" s="689"/>
      <c r="E13" s="323">
        <v>0</v>
      </c>
      <c r="F13" s="323">
        <f t="shared" si="3"/>
        <v>0</v>
      </c>
      <c r="G13" s="329">
        <f t="shared" si="7"/>
        <v>0</v>
      </c>
      <c r="H13" s="323">
        <f t="shared" si="4"/>
        <v>0</v>
      </c>
      <c r="I13" s="329">
        <f t="shared" si="8"/>
        <v>0</v>
      </c>
      <c r="J13" s="325">
        <f t="shared" si="5"/>
        <v>0</v>
      </c>
      <c r="K13" s="329">
        <f t="shared" si="0"/>
        <v>0</v>
      </c>
      <c r="L13" s="323">
        <f t="shared" si="9"/>
        <v>0</v>
      </c>
      <c r="M13" s="329">
        <f t="shared" si="10"/>
        <v>0</v>
      </c>
      <c r="N13" s="323">
        <f t="shared" si="11"/>
        <v>0</v>
      </c>
      <c r="O13" s="329">
        <f t="shared" si="1"/>
        <v>0</v>
      </c>
      <c r="P13" s="323">
        <f t="shared" si="6"/>
        <v>0</v>
      </c>
      <c r="Q13" s="330">
        <f t="shared" si="2"/>
        <v>0</v>
      </c>
    </row>
    <row r="14" spans="1:18" ht="15.75" thickBot="1" x14ac:dyDescent="0.3">
      <c r="A14" s="321" t="s">
        <v>415</v>
      </c>
      <c r="B14" s="322"/>
      <c r="C14" s="698" t="s">
        <v>362</v>
      </c>
      <c r="D14" s="699"/>
      <c r="E14" s="323">
        <v>0</v>
      </c>
      <c r="F14" s="323">
        <f t="shared" si="3"/>
        <v>0</v>
      </c>
      <c r="G14" s="324">
        <f t="shared" si="7"/>
        <v>0</v>
      </c>
      <c r="H14" s="323">
        <f t="shared" si="4"/>
        <v>0</v>
      </c>
      <c r="I14" s="324">
        <f t="shared" si="8"/>
        <v>0</v>
      </c>
      <c r="J14" s="325">
        <f t="shared" si="5"/>
        <v>0</v>
      </c>
      <c r="K14" s="324">
        <f t="shared" si="0"/>
        <v>0</v>
      </c>
      <c r="L14" s="323">
        <f t="shared" si="9"/>
        <v>0</v>
      </c>
      <c r="M14" s="324">
        <f t="shared" si="10"/>
        <v>0</v>
      </c>
      <c r="N14" s="323">
        <f t="shared" si="11"/>
        <v>0</v>
      </c>
      <c r="O14" s="324">
        <f t="shared" si="1"/>
        <v>0</v>
      </c>
      <c r="P14" s="323">
        <f t="shared" si="6"/>
        <v>0</v>
      </c>
      <c r="Q14" s="326">
        <f t="shared" si="2"/>
        <v>0</v>
      </c>
    </row>
    <row r="15" spans="1:18" ht="15.75" thickBot="1" x14ac:dyDescent="0.3">
      <c r="A15" s="327" t="s">
        <v>415</v>
      </c>
      <c r="B15" s="328"/>
      <c r="C15" s="688" t="s">
        <v>363</v>
      </c>
      <c r="D15" s="689"/>
      <c r="E15" s="323">
        <v>0</v>
      </c>
      <c r="F15" s="323">
        <f t="shared" si="3"/>
        <v>0</v>
      </c>
      <c r="G15" s="329">
        <f t="shared" si="7"/>
        <v>0</v>
      </c>
      <c r="H15" s="323">
        <f t="shared" si="4"/>
        <v>0</v>
      </c>
      <c r="I15" s="329">
        <f t="shared" si="8"/>
        <v>0</v>
      </c>
      <c r="J15" s="325">
        <f t="shared" si="5"/>
        <v>0</v>
      </c>
      <c r="K15" s="329">
        <f t="shared" si="0"/>
        <v>0</v>
      </c>
      <c r="L15" s="323">
        <f t="shared" si="9"/>
        <v>0</v>
      </c>
      <c r="M15" s="329">
        <f t="shared" si="10"/>
        <v>0</v>
      </c>
      <c r="N15" s="323">
        <f t="shared" si="11"/>
        <v>0</v>
      </c>
      <c r="O15" s="329">
        <f t="shared" si="1"/>
        <v>0</v>
      </c>
      <c r="P15" s="323">
        <f t="shared" si="6"/>
        <v>0</v>
      </c>
      <c r="Q15" s="330">
        <f t="shared" si="2"/>
        <v>0</v>
      </c>
    </row>
    <row r="16" spans="1:18" ht="15.75" thickBot="1" x14ac:dyDescent="0.3">
      <c r="A16" s="321" t="s">
        <v>415</v>
      </c>
      <c r="B16" s="322"/>
      <c r="C16" s="698" t="s">
        <v>364</v>
      </c>
      <c r="D16" s="699"/>
      <c r="E16" s="323">
        <v>0</v>
      </c>
      <c r="F16" s="323">
        <f t="shared" si="3"/>
        <v>0</v>
      </c>
      <c r="G16" s="324">
        <f t="shared" si="7"/>
        <v>0</v>
      </c>
      <c r="H16" s="323">
        <f t="shared" si="4"/>
        <v>0</v>
      </c>
      <c r="I16" s="324">
        <f t="shared" si="8"/>
        <v>0</v>
      </c>
      <c r="J16" s="325">
        <f t="shared" si="5"/>
        <v>0</v>
      </c>
      <c r="K16" s="324">
        <f t="shared" si="0"/>
        <v>0</v>
      </c>
      <c r="L16" s="323">
        <f t="shared" si="9"/>
        <v>0</v>
      </c>
      <c r="M16" s="324">
        <f t="shared" si="10"/>
        <v>0</v>
      </c>
      <c r="N16" s="323">
        <f t="shared" si="11"/>
        <v>0</v>
      </c>
      <c r="O16" s="324">
        <f t="shared" si="1"/>
        <v>0</v>
      </c>
      <c r="P16" s="323">
        <f t="shared" si="6"/>
        <v>0</v>
      </c>
      <c r="Q16" s="326">
        <f t="shared" si="2"/>
        <v>0</v>
      </c>
    </row>
    <row r="17" spans="1:18" ht="15.75" thickBot="1" x14ac:dyDescent="0.3">
      <c r="A17" s="327" t="s">
        <v>415</v>
      </c>
      <c r="B17" s="328"/>
      <c r="C17" s="93" t="s">
        <v>365</v>
      </c>
      <c r="D17" s="331"/>
      <c r="E17" s="323">
        <v>0</v>
      </c>
      <c r="F17" s="323">
        <f t="shared" si="3"/>
        <v>0</v>
      </c>
      <c r="G17" s="329">
        <f t="shared" si="7"/>
        <v>0</v>
      </c>
      <c r="H17" s="323">
        <f t="shared" si="4"/>
        <v>0</v>
      </c>
      <c r="I17" s="329">
        <f t="shared" si="8"/>
        <v>0</v>
      </c>
      <c r="J17" s="325">
        <f t="shared" si="5"/>
        <v>0</v>
      </c>
      <c r="K17" s="329">
        <f t="shared" si="0"/>
        <v>0</v>
      </c>
      <c r="L17" s="323">
        <f t="shared" si="9"/>
        <v>0</v>
      </c>
      <c r="M17" s="329">
        <f t="shared" si="10"/>
        <v>0</v>
      </c>
      <c r="N17" s="323">
        <f t="shared" si="11"/>
        <v>0</v>
      </c>
      <c r="O17" s="329">
        <f t="shared" si="1"/>
        <v>0</v>
      </c>
      <c r="P17" s="323">
        <f t="shared" si="6"/>
        <v>0</v>
      </c>
      <c r="Q17" s="330">
        <f t="shared" si="2"/>
        <v>0</v>
      </c>
    </row>
    <row r="18" spans="1:18" ht="15.75" thickBot="1" x14ac:dyDescent="0.3">
      <c r="A18" s="316" t="s">
        <v>457</v>
      </c>
      <c r="B18" s="696" t="s">
        <v>366</v>
      </c>
      <c r="C18" s="697"/>
      <c r="D18" s="697"/>
      <c r="E18" s="318">
        <f>IF(E19=0,SUM(E20:E26),E19)</f>
        <v>0</v>
      </c>
      <c r="F18" s="318">
        <f>IF(F19=0,SUM(F20:F26),F19)</f>
        <v>0</v>
      </c>
      <c r="G18" s="319">
        <f t="shared" si="7"/>
        <v>0</v>
      </c>
      <c r="H18" s="318">
        <f>IF(H19=0,SUM(H20:H26),H19)</f>
        <v>0</v>
      </c>
      <c r="I18" s="319">
        <f t="shared" si="8"/>
        <v>0</v>
      </c>
      <c r="J18" s="318">
        <f>IF(J19=0,SUM(J20:J26),J19)</f>
        <v>0</v>
      </c>
      <c r="K18" s="319">
        <f t="shared" si="0"/>
        <v>0</v>
      </c>
      <c r="L18" s="318">
        <f>IF(L19=0,SUM(L20:L26),L19)</f>
        <v>0</v>
      </c>
      <c r="M18" s="319">
        <f>IF(ISNUMBER(+L18/H18-1),+L18/J18-1,0)</f>
        <v>0</v>
      </c>
      <c r="N18" s="318">
        <f>IF(N19=0,SUM(N20:N26),N19)</f>
        <v>0</v>
      </c>
      <c r="O18" s="319">
        <f t="shared" si="1"/>
        <v>0</v>
      </c>
      <c r="P18" s="318">
        <f>IF(P19=0,SUM(P20:P26),P19)</f>
        <v>0</v>
      </c>
      <c r="Q18" s="320">
        <f t="shared" si="2"/>
        <v>0</v>
      </c>
      <c r="R18" s="96"/>
    </row>
    <row r="19" spans="1:18" ht="15" customHeight="1" thickBot="1" x14ac:dyDescent="0.3">
      <c r="A19" s="321" t="s">
        <v>456</v>
      </c>
      <c r="B19" s="322"/>
      <c r="C19" s="686" t="str">
        <f>IF(E19&gt;0,Listas!$A$66,Listas!$A$67)</f>
        <v>…</v>
      </c>
      <c r="D19" s="687"/>
      <c r="E19" s="323">
        <v>0</v>
      </c>
      <c r="F19" s="323">
        <f>E19</f>
        <v>0</v>
      </c>
      <c r="G19" s="324">
        <f t="shared" si="7"/>
        <v>0</v>
      </c>
      <c r="H19" s="323">
        <f>F19</f>
        <v>0</v>
      </c>
      <c r="I19" s="324">
        <f t="shared" si="8"/>
        <v>0</v>
      </c>
      <c r="J19" s="325">
        <f t="shared" ref="J19:J26" si="12">(E19+F19+H19)/3</f>
        <v>0</v>
      </c>
      <c r="K19" s="324">
        <f t="shared" si="0"/>
        <v>0</v>
      </c>
      <c r="L19" s="323">
        <f t="shared" si="9"/>
        <v>0</v>
      </c>
      <c r="M19" s="324">
        <f>IF(ISNUMBER(+L19/H19-1),+L19/J19-1,0)</f>
        <v>0</v>
      </c>
      <c r="N19" s="323">
        <f t="shared" ref="N19:N26" si="13">J19</f>
        <v>0</v>
      </c>
      <c r="O19" s="324">
        <f t="shared" si="1"/>
        <v>0</v>
      </c>
      <c r="P19" s="323">
        <f>L19</f>
        <v>0</v>
      </c>
      <c r="Q19" s="326">
        <f t="shared" si="2"/>
        <v>0</v>
      </c>
    </row>
    <row r="20" spans="1:18" ht="15.75" thickBot="1" x14ac:dyDescent="0.3">
      <c r="A20" s="321" t="s">
        <v>415</v>
      </c>
      <c r="B20" s="322"/>
      <c r="C20" s="698" t="s">
        <v>367</v>
      </c>
      <c r="D20" s="699"/>
      <c r="E20" s="323">
        <v>0</v>
      </c>
      <c r="F20" s="323">
        <f t="shared" ref="F20:F26" si="14">E20</f>
        <v>0</v>
      </c>
      <c r="G20" s="324">
        <f t="shared" si="7"/>
        <v>0</v>
      </c>
      <c r="H20" s="323">
        <f t="shared" ref="H20:H26" si="15">F20</f>
        <v>0</v>
      </c>
      <c r="I20" s="324">
        <f t="shared" si="8"/>
        <v>0</v>
      </c>
      <c r="J20" s="325">
        <f t="shared" si="12"/>
        <v>0</v>
      </c>
      <c r="K20" s="324">
        <f t="shared" si="0"/>
        <v>0</v>
      </c>
      <c r="L20" s="323">
        <f t="shared" si="9"/>
        <v>0</v>
      </c>
      <c r="M20" s="324">
        <f t="shared" ref="M20:M26" si="16">IF(ISNUMBER(+L20/H20-1),+L20/J20-1,0)</f>
        <v>0</v>
      </c>
      <c r="N20" s="323">
        <f t="shared" si="13"/>
        <v>0</v>
      </c>
      <c r="O20" s="324">
        <f t="shared" si="1"/>
        <v>0</v>
      </c>
      <c r="P20" s="323">
        <f t="shared" ref="P20:P26" si="17">L20</f>
        <v>0</v>
      </c>
      <c r="Q20" s="326">
        <f t="shared" si="2"/>
        <v>0</v>
      </c>
    </row>
    <row r="21" spans="1:18" ht="15.75" thickBot="1" x14ac:dyDescent="0.3">
      <c r="A21" s="327" t="s">
        <v>415</v>
      </c>
      <c r="B21" s="328"/>
      <c r="C21" s="688" t="s">
        <v>368</v>
      </c>
      <c r="D21" s="689"/>
      <c r="E21" s="323">
        <v>0</v>
      </c>
      <c r="F21" s="323">
        <f t="shared" si="14"/>
        <v>0</v>
      </c>
      <c r="G21" s="329">
        <f t="shared" si="7"/>
        <v>0</v>
      </c>
      <c r="H21" s="323">
        <f t="shared" si="15"/>
        <v>0</v>
      </c>
      <c r="I21" s="329">
        <f t="shared" si="8"/>
        <v>0</v>
      </c>
      <c r="J21" s="325">
        <f t="shared" si="12"/>
        <v>0</v>
      </c>
      <c r="K21" s="329">
        <f t="shared" si="0"/>
        <v>0</v>
      </c>
      <c r="L21" s="323">
        <f t="shared" si="9"/>
        <v>0</v>
      </c>
      <c r="M21" s="329">
        <f t="shared" si="16"/>
        <v>0</v>
      </c>
      <c r="N21" s="323">
        <f t="shared" si="13"/>
        <v>0</v>
      </c>
      <c r="O21" s="329">
        <f t="shared" si="1"/>
        <v>0</v>
      </c>
      <c r="P21" s="323">
        <f t="shared" si="17"/>
        <v>0</v>
      </c>
      <c r="Q21" s="330">
        <f t="shared" si="2"/>
        <v>0</v>
      </c>
    </row>
    <row r="22" spans="1:18" ht="15.75" thickBot="1" x14ac:dyDescent="0.3">
      <c r="A22" s="321" t="s">
        <v>415</v>
      </c>
      <c r="B22" s="322"/>
      <c r="C22" s="698" t="s">
        <v>369</v>
      </c>
      <c r="D22" s="699"/>
      <c r="E22" s="323">
        <v>0</v>
      </c>
      <c r="F22" s="323">
        <f t="shared" si="14"/>
        <v>0</v>
      </c>
      <c r="G22" s="324">
        <f t="shared" si="7"/>
        <v>0</v>
      </c>
      <c r="H22" s="323">
        <f t="shared" si="15"/>
        <v>0</v>
      </c>
      <c r="I22" s="324">
        <f t="shared" si="8"/>
        <v>0</v>
      </c>
      <c r="J22" s="325">
        <f t="shared" si="12"/>
        <v>0</v>
      </c>
      <c r="K22" s="324">
        <f t="shared" si="0"/>
        <v>0</v>
      </c>
      <c r="L22" s="323">
        <f t="shared" si="9"/>
        <v>0</v>
      </c>
      <c r="M22" s="324">
        <f t="shared" si="16"/>
        <v>0</v>
      </c>
      <c r="N22" s="323">
        <f t="shared" si="13"/>
        <v>0</v>
      </c>
      <c r="O22" s="324">
        <f t="shared" si="1"/>
        <v>0</v>
      </c>
      <c r="P22" s="323">
        <f t="shared" si="17"/>
        <v>0</v>
      </c>
      <c r="Q22" s="326">
        <f t="shared" si="2"/>
        <v>0</v>
      </c>
    </row>
    <row r="23" spans="1:18" ht="15.75" thickBot="1" x14ac:dyDescent="0.3">
      <c r="A23" s="327" t="s">
        <v>415</v>
      </c>
      <c r="B23" s="328"/>
      <c r="C23" s="688" t="s">
        <v>370</v>
      </c>
      <c r="D23" s="689"/>
      <c r="E23" s="323">
        <v>0</v>
      </c>
      <c r="F23" s="323">
        <f t="shared" si="14"/>
        <v>0</v>
      </c>
      <c r="G23" s="329">
        <f t="shared" si="7"/>
        <v>0</v>
      </c>
      <c r="H23" s="323">
        <f t="shared" si="15"/>
        <v>0</v>
      </c>
      <c r="I23" s="329">
        <f t="shared" si="8"/>
        <v>0</v>
      </c>
      <c r="J23" s="325">
        <f t="shared" si="12"/>
        <v>0</v>
      </c>
      <c r="K23" s="329">
        <f t="shared" si="0"/>
        <v>0</v>
      </c>
      <c r="L23" s="323">
        <f t="shared" si="9"/>
        <v>0</v>
      </c>
      <c r="M23" s="329">
        <f t="shared" si="16"/>
        <v>0</v>
      </c>
      <c r="N23" s="323">
        <f t="shared" si="13"/>
        <v>0</v>
      </c>
      <c r="O23" s="329">
        <f t="shared" si="1"/>
        <v>0</v>
      </c>
      <c r="P23" s="323">
        <f t="shared" si="17"/>
        <v>0</v>
      </c>
      <c r="Q23" s="330">
        <f t="shared" si="2"/>
        <v>0</v>
      </c>
    </row>
    <row r="24" spans="1:18" ht="15.75" thickBot="1" x14ac:dyDescent="0.3">
      <c r="A24" s="321" t="s">
        <v>415</v>
      </c>
      <c r="B24" s="322"/>
      <c r="C24" s="698" t="s">
        <v>371</v>
      </c>
      <c r="D24" s="699"/>
      <c r="E24" s="323">
        <v>0</v>
      </c>
      <c r="F24" s="323">
        <f t="shared" si="14"/>
        <v>0</v>
      </c>
      <c r="G24" s="324">
        <f t="shared" si="7"/>
        <v>0</v>
      </c>
      <c r="H24" s="323">
        <f t="shared" si="15"/>
        <v>0</v>
      </c>
      <c r="I24" s="324">
        <f t="shared" si="8"/>
        <v>0</v>
      </c>
      <c r="J24" s="325">
        <f t="shared" si="12"/>
        <v>0</v>
      </c>
      <c r="K24" s="324">
        <f t="shared" si="0"/>
        <v>0</v>
      </c>
      <c r="L24" s="323">
        <f t="shared" si="9"/>
        <v>0</v>
      </c>
      <c r="M24" s="324">
        <f t="shared" si="16"/>
        <v>0</v>
      </c>
      <c r="N24" s="323">
        <f t="shared" si="13"/>
        <v>0</v>
      </c>
      <c r="O24" s="324">
        <f t="shared" si="1"/>
        <v>0</v>
      </c>
      <c r="P24" s="323">
        <f t="shared" si="17"/>
        <v>0</v>
      </c>
      <c r="Q24" s="326">
        <f t="shared" si="2"/>
        <v>0</v>
      </c>
    </row>
    <row r="25" spans="1:18" ht="15.75" thickBot="1" x14ac:dyDescent="0.3">
      <c r="A25" s="327" t="s">
        <v>415</v>
      </c>
      <c r="B25" s="328"/>
      <c r="C25" s="688" t="s">
        <v>372</v>
      </c>
      <c r="D25" s="689"/>
      <c r="E25" s="323">
        <v>0</v>
      </c>
      <c r="F25" s="323">
        <f t="shared" si="14"/>
        <v>0</v>
      </c>
      <c r="G25" s="329">
        <f t="shared" si="7"/>
        <v>0</v>
      </c>
      <c r="H25" s="323">
        <f t="shared" si="15"/>
        <v>0</v>
      </c>
      <c r="I25" s="329">
        <f t="shared" si="8"/>
        <v>0</v>
      </c>
      <c r="J25" s="325">
        <f t="shared" si="12"/>
        <v>0</v>
      </c>
      <c r="K25" s="329">
        <f t="shared" si="0"/>
        <v>0</v>
      </c>
      <c r="L25" s="323">
        <f t="shared" si="9"/>
        <v>0</v>
      </c>
      <c r="M25" s="329">
        <f t="shared" si="16"/>
        <v>0</v>
      </c>
      <c r="N25" s="323">
        <f t="shared" si="13"/>
        <v>0</v>
      </c>
      <c r="O25" s="329">
        <f t="shared" si="1"/>
        <v>0</v>
      </c>
      <c r="P25" s="323">
        <f t="shared" si="17"/>
        <v>0</v>
      </c>
      <c r="Q25" s="330">
        <f t="shared" si="2"/>
        <v>0</v>
      </c>
    </row>
    <row r="26" spans="1:18" ht="15.75" thickBot="1" x14ac:dyDescent="0.3">
      <c r="A26" s="321" t="s">
        <v>415</v>
      </c>
      <c r="B26" s="322"/>
      <c r="C26" s="698" t="s">
        <v>373</v>
      </c>
      <c r="D26" s="699"/>
      <c r="E26" s="323">
        <v>0</v>
      </c>
      <c r="F26" s="323">
        <f t="shared" si="14"/>
        <v>0</v>
      </c>
      <c r="G26" s="324">
        <f t="shared" si="7"/>
        <v>0</v>
      </c>
      <c r="H26" s="323">
        <f t="shared" si="15"/>
        <v>0</v>
      </c>
      <c r="I26" s="324">
        <f t="shared" si="8"/>
        <v>0</v>
      </c>
      <c r="J26" s="325">
        <f t="shared" si="12"/>
        <v>0</v>
      </c>
      <c r="K26" s="324">
        <f t="shared" si="0"/>
        <v>0</v>
      </c>
      <c r="L26" s="323">
        <f t="shared" si="9"/>
        <v>0</v>
      </c>
      <c r="M26" s="324">
        <f t="shared" si="16"/>
        <v>0</v>
      </c>
      <c r="N26" s="323">
        <f t="shared" si="13"/>
        <v>0</v>
      </c>
      <c r="O26" s="324">
        <f t="shared" si="1"/>
        <v>0</v>
      </c>
      <c r="P26" s="323">
        <f t="shared" si="17"/>
        <v>0</v>
      </c>
      <c r="Q26" s="326">
        <f t="shared" si="2"/>
        <v>0</v>
      </c>
    </row>
    <row r="27" spans="1:18" ht="15.75" thickBot="1" x14ac:dyDescent="0.3">
      <c r="A27" s="316" t="s">
        <v>415</v>
      </c>
      <c r="B27" s="696" t="s">
        <v>374</v>
      </c>
      <c r="C27" s="697"/>
      <c r="D27" s="697"/>
      <c r="E27" s="318">
        <f>SUM(E10,E18)</f>
        <v>0</v>
      </c>
      <c r="F27" s="318">
        <f>SUM(F10,F18)</f>
        <v>0</v>
      </c>
      <c r="G27" s="319">
        <f t="shared" si="7"/>
        <v>0</v>
      </c>
      <c r="H27" s="318">
        <f>SUM(H10,H18)</f>
        <v>0</v>
      </c>
      <c r="I27" s="319">
        <f t="shared" si="8"/>
        <v>0</v>
      </c>
      <c r="J27" s="318">
        <f>SUM(J10,J18)</f>
        <v>0</v>
      </c>
      <c r="K27" s="319">
        <f t="shared" si="0"/>
        <v>0</v>
      </c>
      <c r="L27" s="318">
        <f>SUM(L10,L18)</f>
        <v>0</v>
      </c>
      <c r="M27" s="319">
        <f>IF(ISNUMBER(+L27/H27-1),+L27/J27-1,0)</f>
        <v>0</v>
      </c>
      <c r="N27" s="318">
        <f>SUM(N10,N18)</f>
        <v>0</v>
      </c>
      <c r="O27" s="319">
        <f t="shared" si="1"/>
        <v>0</v>
      </c>
      <c r="P27" s="318">
        <f>SUM(P10,P18)</f>
        <v>0</v>
      </c>
      <c r="Q27" s="320">
        <f t="shared" si="2"/>
        <v>0</v>
      </c>
      <c r="R27" s="96"/>
    </row>
    <row r="28" spans="1:18" ht="16.5" thickBot="1" x14ac:dyDescent="0.3">
      <c r="A28" s="306" t="s">
        <v>416</v>
      </c>
      <c r="B28" s="309" t="s">
        <v>410</v>
      </c>
      <c r="C28" s="310"/>
      <c r="D28" s="310"/>
      <c r="E28" s="311">
        <f>E9</f>
        <v>2020</v>
      </c>
      <c r="F28" s="690">
        <f>F9</f>
        <v>2021</v>
      </c>
      <c r="G28" s="690"/>
      <c r="H28" s="690">
        <f>H9</f>
        <v>2022</v>
      </c>
      <c r="I28" s="690"/>
      <c r="J28" s="312" t="s">
        <v>1104</v>
      </c>
      <c r="K28" s="313" t="s">
        <v>425</v>
      </c>
      <c r="L28" s="311">
        <f>L9</f>
        <v>2023</v>
      </c>
      <c r="M28" s="311"/>
      <c r="N28" s="311">
        <f>N9</f>
        <v>2024</v>
      </c>
      <c r="O28" s="311"/>
      <c r="P28" s="690">
        <f>P9</f>
        <v>2025</v>
      </c>
      <c r="Q28" s="691"/>
    </row>
    <row r="29" spans="1:18" ht="15.75" thickBot="1" x14ac:dyDescent="0.3">
      <c r="A29" s="316" t="s">
        <v>416</v>
      </c>
      <c r="B29" s="696" t="s">
        <v>375</v>
      </c>
      <c r="C29" s="697"/>
      <c r="D29" s="697"/>
      <c r="E29" s="318">
        <f>IF(E30=0,SUM(E31:E33),E30)</f>
        <v>0</v>
      </c>
      <c r="F29" s="318">
        <f>IF(F30=0,SUM(F31:F33),F30)</f>
        <v>0</v>
      </c>
      <c r="G29" s="319">
        <f t="shared" ref="G29:G49" si="18">IF(ISNUMBER(+F29/E29-1),+F29/E29-1,0)</f>
        <v>0</v>
      </c>
      <c r="H29" s="318">
        <f>IF(H30=0,SUM(H31:H33),H30)</f>
        <v>0</v>
      </c>
      <c r="I29" s="319">
        <f t="shared" ref="I29:I49" si="19">IF(ISNUMBER(+H29/F29-1),+H29/F29-1,0)</f>
        <v>0</v>
      </c>
      <c r="J29" s="318">
        <f>IF(J30=0,SUM(J31:J33),J30)</f>
        <v>0</v>
      </c>
      <c r="K29" s="319">
        <f t="shared" ref="K29:K49" si="20">IFERROR(STDEV(E29,F29,H29)/AVERAGE(E29,F29,H29),0)</f>
        <v>0</v>
      </c>
      <c r="L29" s="318">
        <f>IF(L30=0,SUM(L31:L33),L30)</f>
        <v>0</v>
      </c>
      <c r="M29" s="319">
        <f>IF(ISNUMBER(+L29/H29-1),+L29/J29-1,0)</f>
        <v>0</v>
      </c>
      <c r="N29" s="318">
        <f>IF(N30=0,SUM(N31:N33),N30)</f>
        <v>0</v>
      </c>
      <c r="O29" s="319">
        <f t="shared" ref="O29:O49" si="21">IF(ISNUMBER(+N29/L29-1),+N29/L29-1,0)</f>
        <v>0</v>
      </c>
      <c r="P29" s="318">
        <f>IF(P30=0,SUM(P31:P33),P30)</f>
        <v>0</v>
      </c>
      <c r="Q29" s="320">
        <f t="shared" ref="Q29:Q49" si="22">IF(ISNUMBER(+P29/L29-1),+P29/L29-1,0)</f>
        <v>0</v>
      </c>
      <c r="R29" s="96"/>
    </row>
    <row r="30" spans="1:18" ht="15.75" thickBot="1" x14ac:dyDescent="0.3">
      <c r="A30" s="321" t="s">
        <v>456</v>
      </c>
      <c r="B30" s="322"/>
      <c r="C30" s="686" t="str">
        <f>IF(E30&gt;0,Listas!$A$66,Listas!$A$67)</f>
        <v>…</v>
      </c>
      <c r="D30" s="687"/>
      <c r="E30" s="323">
        <v>0</v>
      </c>
      <c r="F30" s="323">
        <f>E30</f>
        <v>0</v>
      </c>
      <c r="G30" s="324">
        <f t="shared" si="18"/>
        <v>0</v>
      </c>
      <c r="H30" s="323">
        <f>F30</f>
        <v>0</v>
      </c>
      <c r="I30" s="324">
        <f t="shared" si="19"/>
        <v>0</v>
      </c>
      <c r="J30" s="325">
        <f>(E30+F30+H30)/3</f>
        <v>0</v>
      </c>
      <c r="K30" s="324">
        <f t="shared" si="20"/>
        <v>0</v>
      </c>
      <c r="L30" s="323">
        <f t="shared" ref="L30:L48" si="23">H30</f>
        <v>0</v>
      </c>
      <c r="M30" s="324">
        <f>IF(ISNUMBER(+L30/H30-1),+L30/J30-1,0)</f>
        <v>0</v>
      </c>
      <c r="N30" s="323">
        <f>J30</f>
        <v>0</v>
      </c>
      <c r="O30" s="324">
        <f t="shared" si="21"/>
        <v>0</v>
      </c>
      <c r="P30" s="323">
        <f>L30</f>
        <v>0</v>
      </c>
      <c r="Q30" s="326">
        <f t="shared" si="22"/>
        <v>0</v>
      </c>
    </row>
    <row r="31" spans="1:18" ht="15.75" thickBot="1" x14ac:dyDescent="0.3">
      <c r="A31" s="321" t="s">
        <v>416</v>
      </c>
      <c r="B31" s="322"/>
      <c r="C31" s="698" t="s">
        <v>376</v>
      </c>
      <c r="D31" s="699"/>
      <c r="E31" s="323">
        <v>0</v>
      </c>
      <c r="F31" s="323">
        <f>E31</f>
        <v>0</v>
      </c>
      <c r="G31" s="324">
        <f t="shared" si="18"/>
        <v>0</v>
      </c>
      <c r="H31" s="323">
        <f>F31</f>
        <v>0</v>
      </c>
      <c r="I31" s="324">
        <f t="shared" si="19"/>
        <v>0</v>
      </c>
      <c r="J31" s="325">
        <f>(E31+F31+H31)/3</f>
        <v>0</v>
      </c>
      <c r="K31" s="324">
        <f t="shared" si="20"/>
        <v>0</v>
      </c>
      <c r="L31" s="323">
        <f t="shared" si="23"/>
        <v>0</v>
      </c>
      <c r="M31" s="324">
        <f t="shared" ref="M31:M93" si="24">IF(ISNUMBER(+L31/H31-1),+L31/J31-1,0)</f>
        <v>0</v>
      </c>
      <c r="N31" s="323">
        <f>J31</f>
        <v>0</v>
      </c>
      <c r="O31" s="324">
        <f t="shared" si="21"/>
        <v>0</v>
      </c>
      <c r="P31" s="323">
        <f>L31</f>
        <v>0</v>
      </c>
      <c r="Q31" s="326">
        <f t="shared" si="22"/>
        <v>0</v>
      </c>
    </row>
    <row r="32" spans="1:18" ht="15.75" thickBot="1" x14ac:dyDescent="0.3">
      <c r="A32" s="327" t="s">
        <v>416</v>
      </c>
      <c r="B32" s="328"/>
      <c r="C32" s="688" t="s">
        <v>377</v>
      </c>
      <c r="D32" s="689"/>
      <c r="E32" s="323">
        <v>0</v>
      </c>
      <c r="F32" s="323">
        <f>E32</f>
        <v>0</v>
      </c>
      <c r="G32" s="329">
        <f t="shared" si="18"/>
        <v>0</v>
      </c>
      <c r="H32" s="323">
        <f>F32</f>
        <v>0</v>
      </c>
      <c r="I32" s="329">
        <f t="shared" si="19"/>
        <v>0</v>
      </c>
      <c r="J32" s="325">
        <f>(E32+F32+H32)/3</f>
        <v>0</v>
      </c>
      <c r="K32" s="329">
        <f t="shared" si="20"/>
        <v>0</v>
      </c>
      <c r="L32" s="323">
        <f t="shared" si="23"/>
        <v>0</v>
      </c>
      <c r="M32" s="329">
        <f t="shared" si="24"/>
        <v>0</v>
      </c>
      <c r="N32" s="323">
        <f>J32</f>
        <v>0</v>
      </c>
      <c r="O32" s="329">
        <f t="shared" si="21"/>
        <v>0</v>
      </c>
      <c r="P32" s="323">
        <f>L32</f>
        <v>0</v>
      </c>
      <c r="Q32" s="330">
        <f t="shared" si="22"/>
        <v>0</v>
      </c>
    </row>
    <row r="33" spans="1:18" ht="15.75" thickBot="1" x14ac:dyDescent="0.3">
      <c r="A33" s="321" t="s">
        <v>416</v>
      </c>
      <c r="B33" s="322"/>
      <c r="C33" s="698" t="s">
        <v>378</v>
      </c>
      <c r="D33" s="699"/>
      <c r="E33" s="323">
        <v>0</v>
      </c>
      <c r="F33" s="323">
        <f>E33</f>
        <v>0</v>
      </c>
      <c r="G33" s="324">
        <f t="shared" si="18"/>
        <v>0</v>
      </c>
      <c r="H33" s="323">
        <f>F33</f>
        <v>0</v>
      </c>
      <c r="I33" s="324">
        <f t="shared" si="19"/>
        <v>0</v>
      </c>
      <c r="J33" s="325">
        <f>(E33+F33+H33)/3</f>
        <v>0</v>
      </c>
      <c r="K33" s="324">
        <f t="shared" si="20"/>
        <v>0</v>
      </c>
      <c r="L33" s="323">
        <f t="shared" si="23"/>
        <v>0</v>
      </c>
      <c r="M33" s="324">
        <f t="shared" si="24"/>
        <v>0</v>
      </c>
      <c r="N33" s="323">
        <f>J33</f>
        <v>0</v>
      </c>
      <c r="O33" s="324">
        <f t="shared" si="21"/>
        <v>0</v>
      </c>
      <c r="P33" s="323">
        <f>L33</f>
        <v>0</v>
      </c>
      <c r="Q33" s="326">
        <f t="shared" si="22"/>
        <v>0</v>
      </c>
    </row>
    <row r="34" spans="1:18" ht="15.75" thickBot="1" x14ac:dyDescent="0.3">
      <c r="A34" s="316" t="s">
        <v>416</v>
      </c>
      <c r="B34" s="696" t="s">
        <v>379</v>
      </c>
      <c r="C34" s="697"/>
      <c r="D34" s="697"/>
      <c r="E34" s="318">
        <f>IF(E35=0,SUM(E36:E40),E35)</f>
        <v>0</v>
      </c>
      <c r="F34" s="318">
        <f>IF(F35=0,SUM(F36:F40),F35)</f>
        <v>0</v>
      </c>
      <c r="G34" s="319">
        <f t="shared" si="18"/>
        <v>0</v>
      </c>
      <c r="H34" s="318">
        <f>IF(H35=0,SUM(H36:H40),H35)</f>
        <v>0</v>
      </c>
      <c r="I34" s="319">
        <f t="shared" si="19"/>
        <v>0</v>
      </c>
      <c r="J34" s="318">
        <f>IF(J35=0,SUM(J36:J40),J35)</f>
        <v>0</v>
      </c>
      <c r="K34" s="319">
        <f t="shared" si="20"/>
        <v>0</v>
      </c>
      <c r="L34" s="318">
        <f>IF(L35=0,SUM(L36:L40),L35)</f>
        <v>0</v>
      </c>
      <c r="M34" s="319">
        <f t="shared" si="24"/>
        <v>0</v>
      </c>
      <c r="N34" s="318">
        <f>IF(N35=0,SUM(N36:N40),N35)</f>
        <v>0</v>
      </c>
      <c r="O34" s="319">
        <f t="shared" si="21"/>
        <v>0</v>
      </c>
      <c r="P34" s="318">
        <f>IF(P35=0,SUM(P36:P40),P35)</f>
        <v>0</v>
      </c>
      <c r="Q34" s="320">
        <f t="shared" si="22"/>
        <v>0</v>
      </c>
      <c r="R34" s="96"/>
    </row>
    <row r="35" spans="1:18" ht="15.75" thickBot="1" x14ac:dyDescent="0.3">
      <c r="A35" s="321" t="s">
        <v>456</v>
      </c>
      <c r="B35" s="322"/>
      <c r="C35" s="686" t="str">
        <f>IF(E35&gt;0,Listas!$A$66,Listas!$A$67)</f>
        <v>…</v>
      </c>
      <c r="D35" s="687"/>
      <c r="E35" s="323">
        <v>0</v>
      </c>
      <c r="F35" s="323">
        <f t="shared" ref="F35:F40" si="25">E35</f>
        <v>0</v>
      </c>
      <c r="G35" s="324">
        <f>IF(ISNUMBER(+F35/E35-1),+F35/E35-1,0)</f>
        <v>0</v>
      </c>
      <c r="H35" s="323">
        <f t="shared" ref="H35:H40" si="26">F35</f>
        <v>0</v>
      </c>
      <c r="I35" s="324">
        <f>IF(ISNUMBER(+H35/F35-1),+H35/F35-1,0)</f>
        <v>0</v>
      </c>
      <c r="J35" s="325">
        <f t="shared" ref="J35:J40" si="27">(E35+F35+H35)/3</f>
        <v>0</v>
      </c>
      <c r="K35" s="324">
        <f t="shared" si="20"/>
        <v>0</v>
      </c>
      <c r="L35" s="323">
        <f t="shared" si="23"/>
        <v>0</v>
      </c>
      <c r="M35" s="324">
        <f t="shared" si="24"/>
        <v>0</v>
      </c>
      <c r="N35" s="323">
        <f t="shared" ref="N35:N40" si="28">J35</f>
        <v>0</v>
      </c>
      <c r="O35" s="324">
        <f t="shared" si="21"/>
        <v>0</v>
      </c>
      <c r="P35" s="323">
        <f t="shared" ref="P35:P40" si="29">L35</f>
        <v>0</v>
      </c>
      <c r="Q35" s="326">
        <f t="shared" si="22"/>
        <v>0</v>
      </c>
    </row>
    <row r="36" spans="1:18" ht="15.75" thickBot="1" x14ac:dyDescent="0.3">
      <c r="A36" s="321" t="s">
        <v>416</v>
      </c>
      <c r="B36" s="322"/>
      <c r="C36" s="698" t="s">
        <v>380</v>
      </c>
      <c r="D36" s="699"/>
      <c r="E36" s="323">
        <v>0</v>
      </c>
      <c r="F36" s="323">
        <f t="shared" si="25"/>
        <v>0</v>
      </c>
      <c r="G36" s="324">
        <f t="shared" si="18"/>
        <v>0</v>
      </c>
      <c r="H36" s="323">
        <f t="shared" si="26"/>
        <v>0</v>
      </c>
      <c r="I36" s="324">
        <f t="shared" si="19"/>
        <v>0</v>
      </c>
      <c r="J36" s="325">
        <f t="shared" si="27"/>
        <v>0</v>
      </c>
      <c r="K36" s="324">
        <f t="shared" si="20"/>
        <v>0</v>
      </c>
      <c r="L36" s="323">
        <f t="shared" si="23"/>
        <v>0</v>
      </c>
      <c r="M36" s="324">
        <f t="shared" si="24"/>
        <v>0</v>
      </c>
      <c r="N36" s="323">
        <f t="shared" si="28"/>
        <v>0</v>
      </c>
      <c r="O36" s="324">
        <f t="shared" si="21"/>
        <v>0</v>
      </c>
      <c r="P36" s="323">
        <f t="shared" si="29"/>
        <v>0</v>
      </c>
      <c r="Q36" s="326">
        <f t="shared" si="22"/>
        <v>0</v>
      </c>
    </row>
    <row r="37" spans="1:18" ht="15.75" thickBot="1" x14ac:dyDescent="0.3">
      <c r="A37" s="327" t="s">
        <v>416</v>
      </c>
      <c r="B37" s="328"/>
      <c r="C37" s="688" t="s">
        <v>381</v>
      </c>
      <c r="D37" s="689"/>
      <c r="E37" s="323">
        <v>0</v>
      </c>
      <c r="F37" s="323">
        <f t="shared" si="25"/>
        <v>0</v>
      </c>
      <c r="G37" s="329">
        <f t="shared" si="18"/>
        <v>0</v>
      </c>
      <c r="H37" s="323">
        <f t="shared" si="26"/>
        <v>0</v>
      </c>
      <c r="I37" s="329">
        <f t="shared" si="19"/>
        <v>0</v>
      </c>
      <c r="J37" s="325">
        <f t="shared" si="27"/>
        <v>0</v>
      </c>
      <c r="K37" s="329">
        <f t="shared" si="20"/>
        <v>0</v>
      </c>
      <c r="L37" s="323">
        <f t="shared" si="23"/>
        <v>0</v>
      </c>
      <c r="M37" s="329">
        <f t="shared" si="24"/>
        <v>0</v>
      </c>
      <c r="N37" s="323">
        <f t="shared" si="28"/>
        <v>0</v>
      </c>
      <c r="O37" s="329">
        <f t="shared" si="21"/>
        <v>0</v>
      </c>
      <c r="P37" s="323">
        <f t="shared" si="29"/>
        <v>0</v>
      </c>
      <c r="Q37" s="330">
        <f t="shared" si="22"/>
        <v>0</v>
      </c>
    </row>
    <row r="38" spans="1:18" ht="15" customHeight="1" thickBot="1" x14ac:dyDescent="0.3">
      <c r="A38" s="321" t="s">
        <v>416</v>
      </c>
      <c r="B38" s="322"/>
      <c r="C38" s="698" t="s">
        <v>382</v>
      </c>
      <c r="D38" s="699"/>
      <c r="E38" s="323">
        <v>0</v>
      </c>
      <c r="F38" s="323">
        <f t="shared" si="25"/>
        <v>0</v>
      </c>
      <c r="G38" s="324">
        <f t="shared" si="18"/>
        <v>0</v>
      </c>
      <c r="H38" s="323">
        <f t="shared" si="26"/>
        <v>0</v>
      </c>
      <c r="I38" s="324">
        <f t="shared" si="19"/>
        <v>0</v>
      </c>
      <c r="J38" s="325">
        <f t="shared" si="27"/>
        <v>0</v>
      </c>
      <c r="K38" s="324">
        <f t="shared" si="20"/>
        <v>0</v>
      </c>
      <c r="L38" s="323">
        <f t="shared" si="23"/>
        <v>0</v>
      </c>
      <c r="M38" s="324">
        <f t="shared" si="24"/>
        <v>0</v>
      </c>
      <c r="N38" s="323">
        <f t="shared" si="28"/>
        <v>0</v>
      </c>
      <c r="O38" s="324">
        <f t="shared" si="21"/>
        <v>0</v>
      </c>
      <c r="P38" s="323">
        <f t="shared" si="29"/>
        <v>0</v>
      </c>
      <c r="Q38" s="326">
        <f t="shared" si="22"/>
        <v>0</v>
      </c>
    </row>
    <row r="39" spans="1:18" ht="15.75" thickBot="1" x14ac:dyDescent="0.3">
      <c r="A39" s="327" t="s">
        <v>416</v>
      </c>
      <c r="B39" s="328"/>
      <c r="C39" s="688" t="s">
        <v>383</v>
      </c>
      <c r="D39" s="689"/>
      <c r="E39" s="323">
        <v>0</v>
      </c>
      <c r="F39" s="323">
        <f t="shared" si="25"/>
        <v>0</v>
      </c>
      <c r="G39" s="329">
        <f t="shared" si="18"/>
        <v>0</v>
      </c>
      <c r="H39" s="323">
        <f t="shared" si="26"/>
        <v>0</v>
      </c>
      <c r="I39" s="329">
        <f t="shared" si="19"/>
        <v>0</v>
      </c>
      <c r="J39" s="325">
        <f t="shared" si="27"/>
        <v>0</v>
      </c>
      <c r="K39" s="329">
        <f t="shared" si="20"/>
        <v>0</v>
      </c>
      <c r="L39" s="323">
        <f t="shared" si="23"/>
        <v>0</v>
      </c>
      <c r="M39" s="329">
        <f t="shared" si="24"/>
        <v>0</v>
      </c>
      <c r="N39" s="323">
        <f t="shared" si="28"/>
        <v>0</v>
      </c>
      <c r="O39" s="329">
        <f t="shared" si="21"/>
        <v>0</v>
      </c>
      <c r="P39" s="323">
        <f t="shared" si="29"/>
        <v>0</v>
      </c>
      <c r="Q39" s="330">
        <f t="shared" si="22"/>
        <v>0</v>
      </c>
    </row>
    <row r="40" spans="1:18" ht="15.75" thickBot="1" x14ac:dyDescent="0.3">
      <c r="A40" s="321" t="s">
        <v>416</v>
      </c>
      <c r="B40" s="322"/>
      <c r="C40" s="698" t="s">
        <v>384</v>
      </c>
      <c r="D40" s="699"/>
      <c r="E40" s="323">
        <v>0</v>
      </c>
      <c r="F40" s="323">
        <f t="shared" si="25"/>
        <v>0</v>
      </c>
      <c r="G40" s="324">
        <f t="shared" si="18"/>
        <v>0</v>
      </c>
      <c r="H40" s="323">
        <f t="shared" si="26"/>
        <v>0</v>
      </c>
      <c r="I40" s="324">
        <f t="shared" si="19"/>
        <v>0</v>
      </c>
      <c r="J40" s="325">
        <f t="shared" si="27"/>
        <v>0</v>
      </c>
      <c r="K40" s="324">
        <f t="shared" si="20"/>
        <v>0</v>
      </c>
      <c r="L40" s="323">
        <f t="shared" si="23"/>
        <v>0</v>
      </c>
      <c r="M40" s="324">
        <f t="shared" si="24"/>
        <v>0</v>
      </c>
      <c r="N40" s="323">
        <f t="shared" si="28"/>
        <v>0</v>
      </c>
      <c r="O40" s="324">
        <f t="shared" si="21"/>
        <v>0</v>
      </c>
      <c r="P40" s="323">
        <f t="shared" si="29"/>
        <v>0</v>
      </c>
      <c r="Q40" s="326">
        <f t="shared" si="22"/>
        <v>0</v>
      </c>
    </row>
    <row r="41" spans="1:18" ht="15.75" thickBot="1" x14ac:dyDescent="0.3">
      <c r="A41" s="316" t="s">
        <v>416</v>
      </c>
      <c r="B41" s="696" t="s">
        <v>385</v>
      </c>
      <c r="C41" s="697"/>
      <c r="D41" s="697"/>
      <c r="E41" s="318">
        <f>IF(E42=0,SUM(E43:E48),E42)</f>
        <v>0</v>
      </c>
      <c r="F41" s="318">
        <f>IF(F42=0,SUM(F43:F48),F42)</f>
        <v>0</v>
      </c>
      <c r="G41" s="319">
        <f t="shared" si="18"/>
        <v>0</v>
      </c>
      <c r="H41" s="318">
        <f>IF(H42=0,SUM(H43:H48),H42)</f>
        <v>0</v>
      </c>
      <c r="I41" s="319">
        <f t="shared" si="19"/>
        <v>0</v>
      </c>
      <c r="J41" s="318">
        <f>IF(J42=0,SUM(J43:J48),J42)</f>
        <v>0</v>
      </c>
      <c r="K41" s="319">
        <f t="shared" si="20"/>
        <v>0</v>
      </c>
      <c r="L41" s="318">
        <f>IF(L42=0,SUM(L43:L48),L42)</f>
        <v>0</v>
      </c>
      <c r="M41" s="319">
        <f t="shared" si="24"/>
        <v>0</v>
      </c>
      <c r="N41" s="318">
        <f>IF(N42=0,SUM(N43:N48),N42)</f>
        <v>0</v>
      </c>
      <c r="O41" s="319">
        <f t="shared" si="21"/>
        <v>0</v>
      </c>
      <c r="P41" s="318">
        <f>IF(P42=0,SUM(P43:P48),P42)</f>
        <v>0</v>
      </c>
      <c r="Q41" s="320">
        <f t="shared" si="22"/>
        <v>0</v>
      </c>
      <c r="R41" s="96"/>
    </row>
    <row r="42" spans="1:18" ht="15.75" thickBot="1" x14ac:dyDescent="0.3">
      <c r="A42" s="321" t="s">
        <v>456</v>
      </c>
      <c r="B42" s="322"/>
      <c r="C42" s="686" t="str">
        <f>IF(E42&gt;0,Listas!$A$66,Listas!$A$67)</f>
        <v>…</v>
      </c>
      <c r="D42" s="687"/>
      <c r="E42" s="323">
        <v>0</v>
      </c>
      <c r="F42" s="323">
        <f>E42</f>
        <v>0</v>
      </c>
      <c r="G42" s="324">
        <f t="shared" si="18"/>
        <v>0</v>
      </c>
      <c r="H42" s="323">
        <f t="shared" ref="H42:H48" si="30">F42</f>
        <v>0</v>
      </c>
      <c r="I42" s="324">
        <f t="shared" si="19"/>
        <v>0</v>
      </c>
      <c r="J42" s="325">
        <f t="shared" ref="J42:J48" si="31">(E42+F42+H42)/3</f>
        <v>0</v>
      </c>
      <c r="K42" s="324">
        <f t="shared" si="20"/>
        <v>0</v>
      </c>
      <c r="L42" s="323">
        <f t="shared" si="23"/>
        <v>0</v>
      </c>
      <c r="M42" s="324">
        <f t="shared" si="24"/>
        <v>0</v>
      </c>
      <c r="N42" s="323">
        <f t="shared" ref="N42:N48" si="32">J42</f>
        <v>0</v>
      </c>
      <c r="O42" s="324">
        <f t="shared" si="21"/>
        <v>0</v>
      </c>
      <c r="P42" s="323">
        <f>L42</f>
        <v>0</v>
      </c>
      <c r="Q42" s="326">
        <f t="shared" si="22"/>
        <v>0</v>
      </c>
    </row>
    <row r="43" spans="1:18" ht="15" customHeight="1" thickBot="1" x14ac:dyDescent="0.3">
      <c r="A43" s="321" t="s">
        <v>416</v>
      </c>
      <c r="B43" s="322"/>
      <c r="C43" s="698" t="s">
        <v>386</v>
      </c>
      <c r="D43" s="699"/>
      <c r="E43" s="323">
        <v>0</v>
      </c>
      <c r="F43" s="323">
        <f t="shared" ref="F43:F48" si="33">E43</f>
        <v>0</v>
      </c>
      <c r="G43" s="324">
        <f t="shared" si="18"/>
        <v>0</v>
      </c>
      <c r="H43" s="323">
        <f t="shared" si="30"/>
        <v>0</v>
      </c>
      <c r="I43" s="324">
        <f t="shared" si="19"/>
        <v>0</v>
      </c>
      <c r="J43" s="325">
        <f t="shared" si="31"/>
        <v>0</v>
      </c>
      <c r="K43" s="324">
        <f t="shared" si="20"/>
        <v>0</v>
      </c>
      <c r="L43" s="323">
        <f t="shared" si="23"/>
        <v>0</v>
      </c>
      <c r="M43" s="324">
        <f t="shared" si="24"/>
        <v>0</v>
      </c>
      <c r="N43" s="323">
        <f t="shared" si="32"/>
        <v>0</v>
      </c>
      <c r="O43" s="324">
        <f t="shared" si="21"/>
        <v>0</v>
      </c>
      <c r="P43" s="323">
        <f t="shared" ref="P43:P48" si="34">L43</f>
        <v>0</v>
      </c>
      <c r="Q43" s="326">
        <f t="shared" si="22"/>
        <v>0</v>
      </c>
    </row>
    <row r="44" spans="1:18" ht="15.75" thickBot="1" x14ac:dyDescent="0.3">
      <c r="A44" s="327" t="s">
        <v>416</v>
      </c>
      <c r="B44" s="328"/>
      <c r="C44" s="688" t="s">
        <v>387</v>
      </c>
      <c r="D44" s="689"/>
      <c r="E44" s="323">
        <v>0</v>
      </c>
      <c r="F44" s="323">
        <f t="shared" si="33"/>
        <v>0</v>
      </c>
      <c r="G44" s="329">
        <f t="shared" si="18"/>
        <v>0</v>
      </c>
      <c r="H44" s="323">
        <f t="shared" si="30"/>
        <v>0</v>
      </c>
      <c r="I44" s="329">
        <f t="shared" si="19"/>
        <v>0</v>
      </c>
      <c r="J44" s="325">
        <f t="shared" si="31"/>
        <v>0</v>
      </c>
      <c r="K44" s="329">
        <f t="shared" si="20"/>
        <v>0</v>
      </c>
      <c r="L44" s="323">
        <f t="shared" si="23"/>
        <v>0</v>
      </c>
      <c r="M44" s="329">
        <f t="shared" si="24"/>
        <v>0</v>
      </c>
      <c r="N44" s="323">
        <f t="shared" si="32"/>
        <v>0</v>
      </c>
      <c r="O44" s="329">
        <f t="shared" si="21"/>
        <v>0</v>
      </c>
      <c r="P44" s="323">
        <f t="shared" si="34"/>
        <v>0</v>
      </c>
      <c r="Q44" s="330">
        <f t="shared" si="22"/>
        <v>0</v>
      </c>
    </row>
    <row r="45" spans="1:18" ht="15.75" thickBot="1" x14ac:dyDescent="0.3">
      <c r="A45" s="321" t="s">
        <v>416</v>
      </c>
      <c r="B45" s="322"/>
      <c r="C45" s="698" t="s">
        <v>388</v>
      </c>
      <c r="D45" s="699"/>
      <c r="E45" s="323">
        <v>0</v>
      </c>
      <c r="F45" s="323">
        <f t="shared" si="33"/>
        <v>0</v>
      </c>
      <c r="G45" s="324">
        <f t="shared" si="18"/>
        <v>0</v>
      </c>
      <c r="H45" s="323">
        <f t="shared" si="30"/>
        <v>0</v>
      </c>
      <c r="I45" s="324">
        <f t="shared" si="19"/>
        <v>0</v>
      </c>
      <c r="J45" s="325">
        <f t="shared" si="31"/>
        <v>0</v>
      </c>
      <c r="K45" s="324">
        <f t="shared" si="20"/>
        <v>0</v>
      </c>
      <c r="L45" s="323">
        <f t="shared" si="23"/>
        <v>0</v>
      </c>
      <c r="M45" s="324">
        <f t="shared" si="24"/>
        <v>0</v>
      </c>
      <c r="N45" s="323">
        <f t="shared" si="32"/>
        <v>0</v>
      </c>
      <c r="O45" s="324">
        <f t="shared" si="21"/>
        <v>0</v>
      </c>
      <c r="P45" s="323">
        <f t="shared" si="34"/>
        <v>0</v>
      </c>
      <c r="Q45" s="326">
        <f t="shared" si="22"/>
        <v>0</v>
      </c>
    </row>
    <row r="46" spans="1:18" ht="15" customHeight="1" thickBot="1" x14ac:dyDescent="0.3">
      <c r="A46" s="327" t="s">
        <v>416</v>
      </c>
      <c r="B46" s="328"/>
      <c r="C46" s="688" t="s">
        <v>389</v>
      </c>
      <c r="D46" s="689"/>
      <c r="E46" s="323">
        <v>0</v>
      </c>
      <c r="F46" s="323">
        <f t="shared" si="33"/>
        <v>0</v>
      </c>
      <c r="G46" s="329">
        <f t="shared" si="18"/>
        <v>0</v>
      </c>
      <c r="H46" s="323">
        <f t="shared" si="30"/>
        <v>0</v>
      </c>
      <c r="I46" s="329">
        <f t="shared" si="19"/>
        <v>0</v>
      </c>
      <c r="J46" s="325">
        <f t="shared" si="31"/>
        <v>0</v>
      </c>
      <c r="K46" s="329">
        <f t="shared" si="20"/>
        <v>0</v>
      </c>
      <c r="L46" s="323">
        <f t="shared" si="23"/>
        <v>0</v>
      </c>
      <c r="M46" s="329">
        <f t="shared" si="24"/>
        <v>0</v>
      </c>
      <c r="N46" s="323">
        <f t="shared" si="32"/>
        <v>0</v>
      </c>
      <c r="O46" s="329">
        <f t="shared" si="21"/>
        <v>0</v>
      </c>
      <c r="P46" s="323">
        <f t="shared" si="34"/>
        <v>0</v>
      </c>
      <c r="Q46" s="330">
        <f t="shared" si="22"/>
        <v>0</v>
      </c>
    </row>
    <row r="47" spans="1:18" ht="15.75" thickBot="1" x14ac:dyDescent="0.3">
      <c r="A47" s="321" t="s">
        <v>416</v>
      </c>
      <c r="B47" s="322"/>
      <c r="C47" s="698" t="s">
        <v>390</v>
      </c>
      <c r="D47" s="699"/>
      <c r="E47" s="323">
        <v>0</v>
      </c>
      <c r="F47" s="323">
        <f t="shared" si="33"/>
        <v>0</v>
      </c>
      <c r="G47" s="324">
        <f t="shared" si="18"/>
        <v>0</v>
      </c>
      <c r="H47" s="323">
        <f t="shared" si="30"/>
        <v>0</v>
      </c>
      <c r="I47" s="324">
        <f t="shared" si="19"/>
        <v>0</v>
      </c>
      <c r="J47" s="325">
        <f t="shared" si="31"/>
        <v>0</v>
      </c>
      <c r="K47" s="324">
        <f t="shared" si="20"/>
        <v>0</v>
      </c>
      <c r="L47" s="323">
        <f t="shared" si="23"/>
        <v>0</v>
      </c>
      <c r="M47" s="324">
        <f t="shared" si="24"/>
        <v>0</v>
      </c>
      <c r="N47" s="323">
        <f t="shared" si="32"/>
        <v>0</v>
      </c>
      <c r="O47" s="324">
        <f t="shared" si="21"/>
        <v>0</v>
      </c>
      <c r="P47" s="323">
        <f t="shared" si="34"/>
        <v>0</v>
      </c>
      <c r="Q47" s="326">
        <f t="shared" si="22"/>
        <v>0</v>
      </c>
    </row>
    <row r="48" spans="1:18" ht="15.75" thickBot="1" x14ac:dyDescent="0.3">
      <c r="A48" s="327" t="s">
        <v>416</v>
      </c>
      <c r="B48" s="328"/>
      <c r="C48" s="688" t="s">
        <v>372</v>
      </c>
      <c r="D48" s="689"/>
      <c r="E48" s="323">
        <v>0</v>
      </c>
      <c r="F48" s="323">
        <f t="shared" si="33"/>
        <v>0</v>
      </c>
      <c r="G48" s="329">
        <f t="shared" si="18"/>
        <v>0</v>
      </c>
      <c r="H48" s="323">
        <f t="shared" si="30"/>
        <v>0</v>
      </c>
      <c r="I48" s="329">
        <f t="shared" si="19"/>
        <v>0</v>
      </c>
      <c r="J48" s="325">
        <f t="shared" si="31"/>
        <v>0</v>
      </c>
      <c r="K48" s="329">
        <f t="shared" si="20"/>
        <v>0</v>
      </c>
      <c r="L48" s="323">
        <f t="shared" si="23"/>
        <v>0</v>
      </c>
      <c r="M48" s="329">
        <f t="shared" si="24"/>
        <v>0</v>
      </c>
      <c r="N48" s="323">
        <f t="shared" si="32"/>
        <v>0</v>
      </c>
      <c r="O48" s="329">
        <f t="shared" si="21"/>
        <v>0</v>
      </c>
      <c r="P48" s="323">
        <f t="shared" si="34"/>
        <v>0</v>
      </c>
      <c r="Q48" s="330">
        <f t="shared" si="22"/>
        <v>0</v>
      </c>
    </row>
    <row r="49" spans="1:18" ht="15.75" thickBot="1" x14ac:dyDescent="0.3">
      <c r="A49" s="316" t="s">
        <v>416</v>
      </c>
      <c r="B49" s="696" t="s">
        <v>411</v>
      </c>
      <c r="C49" s="697"/>
      <c r="D49" s="697"/>
      <c r="E49" s="318">
        <f>SUM(E29,E34,E41)</f>
        <v>0</v>
      </c>
      <c r="F49" s="318">
        <f>SUM(F29,F34,F41)</f>
        <v>0</v>
      </c>
      <c r="G49" s="319">
        <f t="shared" si="18"/>
        <v>0</v>
      </c>
      <c r="H49" s="318">
        <f>SUM(H29,H34,H41)</f>
        <v>0</v>
      </c>
      <c r="I49" s="319">
        <f t="shared" si="19"/>
        <v>0</v>
      </c>
      <c r="J49" s="318">
        <f>SUM(J29,J34,J41)</f>
        <v>0</v>
      </c>
      <c r="K49" s="319">
        <f t="shared" si="20"/>
        <v>0</v>
      </c>
      <c r="L49" s="318">
        <f>SUM(L29,L34,L41)</f>
        <v>0</v>
      </c>
      <c r="M49" s="319">
        <f t="shared" si="24"/>
        <v>0</v>
      </c>
      <c r="N49" s="318">
        <f>SUM(N29,N34,N41)</f>
        <v>0</v>
      </c>
      <c r="O49" s="319">
        <f t="shared" si="21"/>
        <v>0</v>
      </c>
      <c r="P49" s="318">
        <f>SUM(P29,P34,P41)</f>
        <v>0</v>
      </c>
      <c r="Q49" s="320">
        <f t="shared" si="22"/>
        <v>0</v>
      </c>
      <c r="R49" s="96"/>
    </row>
    <row r="50" spans="1:18" ht="16.5" thickBot="1" x14ac:dyDescent="0.3">
      <c r="A50" s="306" t="s">
        <v>417</v>
      </c>
      <c r="B50" s="332" t="s">
        <v>412</v>
      </c>
      <c r="C50" s="310"/>
      <c r="D50" s="310"/>
      <c r="E50" s="311">
        <f>E28</f>
        <v>2020</v>
      </c>
      <c r="F50" s="690">
        <f>F28</f>
        <v>2021</v>
      </c>
      <c r="G50" s="690"/>
      <c r="H50" s="690">
        <f>H28</f>
        <v>2022</v>
      </c>
      <c r="I50" s="690"/>
      <c r="J50" s="312" t="str">
        <f>J28</f>
        <v>Media 3 años</v>
      </c>
      <c r="K50" s="313" t="str">
        <f>K28</f>
        <v>%DER</v>
      </c>
      <c r="L50" s="311">
        <f>L28</f>
        <v>2023</v>
      </c>
      <c r="M50" s="311"/>
      <c r="N50" s="311">
        <f>N28</f>
        <v>2024</v>
      </c>
      <c r="O50" s="311"/>
      <c r="P50" s="690">
        <f>P28</f>
        <v>2025</v>
      </c>
      <c r="Q50" s="691"/>
    </row>
    <row r="51" spans="1:18" ht="15.75" thickBot="1" x14ac:dyDescent="0.3">
      <c r="A51" s="316" t="s">
        <v>417</v>
      </c>
      <c r="B51" s="696" t="s">
        <v>391</v>
      </c>
      <c r="C51" s="697"/>
      <c r="D51" s="697"/>
      <c r="E51" s="333">
        <f>E52+E53</f>
        <v>0</v>
      </c>
      <c r="F51" s="333">
        <f>F52+F53</f>
        <v>0</v>
      </c>
      <c r="G51" s="334">
        <f>IF(ISNUMBER(+F51/E51-1),+F51/E51-1,0)</f>
        <v>0</v>
      </c>
      <c r="H51" s="333">
        <f>H52+H53</f>
        <v>0</v>
      </c>
      <c r="I51" s="334">
        <f>IF(ISNUMBER(+H51/F51-1),+H51/F51-1,0)</f>
        <v>0</v>
      </c>
      <c r="J51" s="333">
        <f>J52+J53</f>
        <v>0</v>
      </c>
      <c r="K51" s="334">
        <f t="shared" ref="K51:K77" si="35">IFERROR(STDEV(E51,F51,H51)/AVERAGE(E51,F51,H51),0)</f>
        <v>0</v>
      </c>
      <c r="L51" s="333">
        <f>L52+L53</f>
        <v>0</v>
      </c>
      <c r="M51" s="334">
        <f t="shared" si="24"/>
        <v>0</v>
      </c>
      <c r="N51" s="333">
        <f>N52+N53</f>
        <v>0</v>
      </c>
      <c r="O51" s="334">
        <f t="shared" ref="O51:O77" si="36">IF(ISNUMBER(+N51/L51-1),+N51/L51-1,0)</f>
        <v>0</v>
      </c>
      <c r="P51" s="333">
        <f>P52+P53</f>
        <v>0</v>
      </c>
      <c r="Q51" s="335">
        <f t="shared" ref="Q51:Q77" si="37">IF(ISNUMBER(+P51/L51-1),+P51/L51-1,0)</f>
        <v>0</v>
      </c>
    </row>
    <row r="52" spans="1:18" ht="15.75" thickBot="1" x14ac:dyDescent="0.3">
      <c r="A52" s="321" t="s">
        <v>417</v>
      </c>
      <c r="B52" s="322"/>
      <c r="C52" s="698" t="s">
        <v>414</v>
      </c>
      <c r="D52" s="699"/>
      <c r="E52" s="323">
        <v>0</v>
      </c>
      <c r="F52" s="323">
        <f>E52</f>
        <v>0</v>
      </c>
      <c r="G52" s="324">
        <f t="shared" ref="G52:G77" si="38">IF(ISNUMBER(+F52/E52-1),+F52/E52-1,0)</f>
        <v>0</v>
      </c>
      <c r="H52" s="323">
        <f>F52</f>
        <v>0</v>
      </c>
      <c r="I52" s="324">
        <f t="shared" ref="I52:I77" si="39">IF(ISNUMBER(+H52/F52-1),+H52/F52-1,0)</f>
        <v>0</v>
      </c>
      <c r="J52" s="325">
        <f>(E52+F52+H52)/3</f>
        <v>0</v>
      </c>
      <c r="K52" s="324">
        <f t="shared" si="35"/>
        <v>0</v>
      </c>
      <c r="L52" s="323">
        <f>H52</f>
        <v>0</v>
      </c>
      <c r="M52" s="324">
        <f t="shared" si="24"/>
        <v>0</v>
      </c>
      <c r="N52" s="323">
        <f>J52</f>
        <v>0</v>
      </c>
      <c r="O52" s="324">
        <f t="shared" si="36"/>
        <v>0</v>
      </c>
      <c r="P52" s="323">
        <f>L52</f>
        <v>0</v>
      </c>
      <c r="Q52" s="326">
        <f t="shared" si="37"/>
        <v>0</v>
      </c>
    </row>
    <row r="53" spans="1:18" ht="15.75" thickBot="1" x14ac:dyDescent="0.3">
      <c r="A53" s="327" t="s">
        <v>417</v>
      </c>
      <c r="B53" s="328"/>
      <c r="C53" s="688" t="s">
        <v>413</v>
      </c>
      <c r="D53" s="689"/>
      <c r="E53" s="323">
        <v>0</v>
      </c>
      <c r="F53" s="323">
        <f>E53</f>
        <v>0</v>
      </c>
      <c r="G53" s="329">
        <f t="shared" si="38"/>
        <v>0</v>
      </c>
      <c r="H53" s="323">
        <f>F53</f>
        <v>0</v>
      </c>
      <c r="I53" s="329">
        <f t="shared" si="39"/>
        <v>0</v>
      </c>
      <c r="J53" s="325">
        <f>(E53+F53+H53)/3</f>
        <v>0</v>
      </c>
      <c r="K53" s="329">
        <f t="shared" si="35"/>
        <v>0</v>
      </c>
      <c r="L53" s="323">
        <f>H53</f>
        <v>0</v>
      </c>
      <c r="M53" s="329">
        <f t="shared" si="24"/>
        <v>0</v>
      </c>
      <c r="N53" s="323">
        <f>J53</f>
        <v>0</v>
      </c>
      <c r="O53" s="329">
        <f t="shared" si="36"/>
        <v>0</v>
      </c>
      <c r="P53" s="323">
        <f>L53</f>
        <v>0</v>
      </c>
      <c r="Q53" s="330">
        <f t="shared" si="37"/>
        <v>0</v>
      </c>
    </row>
    <row r="54" spans="1:18" ht="15.75" thickBot="1" x14ac:dyDescent="0.3">
      <c r="A54" s="316" t="s">
        <v>417</v>
      </c>
      <c r="B54" s="696" t="s">
        <v>392</v>
      </c>
      <c r="C54" s="697"/>
      <c r="D54" s="697"/>
      <c r="E54" s="333">
        <f>+E55+E56+E57+E58</f>
        <v>0</v>
      </c>
      <c r="F54" s="333">
        <f>+F55+F56+F57+F58</f>
        <v>0</v>
      </c>
      <c r="G54" s="334">
        <f t="shared" si="38"/>
        <v>0</v>
      </c>
      <c r="H54" s="333">
        <f>+H55+H56+H57+H58</f>
        <v>0</v>
      </c>
      <c r="I54" s="334">
        <f t="shared" si="39"/>
        <v>0</v>
      </c>
      <c r="J54" s="333">
        <f>+J55+J56+J57+J58</f>
        <v>0</v>
      </c>
      <c r="K54" s="334">
        <f t="shared" si="35"/>
        <v>0</v>
      </c>
      <c r="L54" s="333">
        <f>+L55+L56+L57+L58</f>
        <v>0</v>
      </c>
      <c r="M54" s="334">
        <f t="shared" si="24"/>
        <v>0</v>
      </c>
      <c r="N54" s="333">
        <f>+N55+N56+N57+N58</f>
        <v>0</v>
      </c>
      <c r="O54" s="334">
        <f t="shared" si="36"/>
        <v>0</v>
      </c>
      <c r="P54" s="333">
        <f>+P55+P56+P57+P58</f>
        <v>0</v>
      </c>
      <c r="Q54" s="335">
        <f t="shared" si="37"/>
        <v>0</v>
      </c>
    </row>
    <row r="55" spans="1:18" ht="15.75" thickBot="1" x14ac:dyDescent="0.3">
      <c r="A55" s="321" t="s">
        <v>417</v>
      </c>
      <c r="B55" s="322"/>
      <c r="C55" s="698" t="s">
        <v>393</v>
      </c>
      <c r="D55" s="699"/>
      <c r="E55" s="323">
        <v>0</v>
      </c>
      <c r="F55" s="323">
        <f>E55</f>
        <v>0</v>
      </c>
      <c r="G55" s="324">
        <f t="shared" si="38"/>
        <v>0</v>
      </c>
      <c r="H55" s="323">
        <f t="shared" ref="H55:H76" si="40">F55</f>
        <v>0</v>
      </c>
      <c r="I55" s="324">
        <f t="shared" si="39"/>
        <v>0</v>
      </c>
      <c r="J55" s="325">
        <f>(E55+F55+H55)/3</f>
        <v>0</v>
      </c>
      <c r="K55" s="324">
        <f t="shared" si="35"/>
        <v>0</v>
      </c>
      <c r="L55" s="323">
        <f>H55</f>
        <v>0</v>
      </c>
      <c r="M55" s="324">
        <f t="shared" si="24"/>
        <v>0</v>
      </c>
      <c r="N55" s="323">
        <f>J55</f>
        <v>0</v>
      </c>
      <c r="O55" s="324">
        <f t="shared" si="36"/>
        <v>0</v>
      </c>
      <c r="P55" s="323">
        <f>L55</f>
        <v>0</v>
      </c>
      <c r="Q55" s="326">
        <f t="shared" si="37"/>
        <v>0</v>
      </c>
    </row>
    <row r="56" spans="1:18" ht="15.75" thickBot="1" x14ac:dyDescent="0.3">
      <c r="A56" s="327" t="s">
        <v>417</v>
      </c>
      <c r="B56" s="328"/>
      <c r="C56" s="688" t="s">
        <v>394</v>
      </c>
      <c r="D56" s="689"/>
      <c r="E56" s="323">
        <v>0</v>
      </c>
      <c r="F56" s="323">
        <f>E56</f>
        <v>0</v>
      </c>
      <c r="G56" s="329">
        <f t="shared" si="38"/>
        <v>0</v>
      </c>
      <c r="H56" s="323">
        <f t="shared" si="40"/>
        <v>0</v>
      </c>
      <c r="I56" s="329">
        <f t="shared" si="39"/>
        <v>0</v>
      </c>
      <c r="J56" s="325">
        <f>(E56+F56+H56)/3</f>
        <v>0</v>
      </c>
      <c r="K56" s="329">
        <f t="shared" si="35"/>
        <v>0</v>
      </c>
      <c r="L56" s="323">
        <f>H56</f>
        <v>0</v>
      </c>
      <c r="M56" s="329">
        <f t="shared" si="24"/>
        <v>0</v>
      </c>
      <c r="N56" s="323">
        <f>J56</f>
        <v>0</v>
      </c>
      <c r="O56" s="329">
        <f t="shared" si="36"/>
        <v>0</v>
      </c>
      <c r="P56" s="323">
        <f>L56</f>
        <v>0</v>
      </c>
      <c r="Q56" s="330">
        <f t="shared" si="37"/>
        <v>0</v>
      </c>
    </row>
    <row r="57" spans="1:18" ht="15.75" thickBot="1" x14ac:dyDescent="0.3">
      <c r="A57" s="321" t="s">
        <v>417</v>
      </c>
      <c r="B57" s="322"/>
      <c r="C57" s="698" t="s">
        <v>395</v>
      </c>
      <c r="D57" s="699"/>
      <c r="E57" s="323">
        <v>0</v>
      </c>
      <c r="F57" s="323">
        <f>E57</f>
        <v>0</v>
      </c>
      <c r="G57" s="324">
        <f t="shared" si="38"/>
        <v>0</v>
      </c>
      <c r="H57" s="323">
        <f t="shared" si="40"/>
        <v>0</v>
      </c>
      <c r="I57" s="324">
        <f t="shared" si="39"/>
        <v>0</v>
      </c>
      <c r="J57" s="325">
        <f>(E57+F57+H57)/3</f>
        <v>0</v>
      </c>
      <c r="K57" s="324">
        <f t="shared" si="35"/>
        <v>0</v>
      </c>
      <c r="L57" s="323">
        <f>H57</f>
        <v>0</v>
      </c>
      <c r="M57" s="324">
        <f t="shared" si="24"/>
        <v>0</v>
      </c>
      <c r="N57" s="323">
        <f>J57</f>
        <v>0</v>
      </c>
      <c r="O57" s="324">
        <f t="shared" si="36"/>
        <v>0</v>
      </c>
      <c r="P57" s="323">
        <f>L57</f>
        <v>0</v>
      </c>
      <c r="Q57" s="326">
        <f t="shared" si="37"/>
        <v>0</v>
      </c>
    </row>
    <row r="58" spans="1:18" ht="15.75" thickBot="1" x14ac:dyDescent="0.3">
      <c r="A58" s="327" t="s">
        <v>417</v>
      </c>
      <c r="B58" s="328"/>
      <c r="C58" s="688" t="s">
        <v>396</v>
      </c>
      <c r="D58" s="689"/>
      <c r="E58" s="323">
        <v>0</v>
      </c>
      <c r="F58" s="323">
        <f>E58</f>
        <v>0</v>
      </c>
      <c r="G58" s="329">
        <f t="shared" si="38"/>
        <v>0</v>
      </c>
      <c r="H58" s="323">
        <f t="shared" si="40"/>
        <v>0</v>
      </c>
      <c r="I58" s="329">
        <f t="shared" si="39"/>
        <v>0</v>
      </c>
      <c r="J58" s="325">
        <f>(E58+F58+H58)/3</f>
        <v>0</v>
      </c>
      <c r="K58" s="329">
        <f t="shared" si="35"/>
        <v>0</v>
      </c>
      <c r="L58" s="323">
        <f>J58</f>
        <v>0</v>
      </c>
      <c r="M58" s="329">
        <f t="shared" si="24"/>
        <v>0</v>
      </c>
      <c r="N58" s="323">
        <f>L58</f>
        <v>0</v>
      </c>
      <c r="O58" s="329">
        <f t="shared" si="36"/>
        <v>0</v>
      </c>
      <c r="P58" s="323">
        <f>L58</f>
        <v>0</v>
      </c>
      <c r="Q58" s="330">
        <f t="shared" si="37"/>
        <v>0</v>
      </c>
    </row>
    <row r="59" spans="1:18" ht="15.75" thickBot="1" x14ac:dyDescent="0.3">
      <c r="A59" s="316" t="s">
        <v>417</v>
      </c>
      <c r="B59" s="696" t="s">
        <v>397</v>
      </c>
      <c r="C59" s="697"/>
      <c r="D59" s="697"/>
      <c r="E59" s="333">
        <f>E51-E54</f>
        <v>0</v>
      </c>
      <c r="F59" s="333">
        <f>F51-F54</f>
        <v>0</v>
      </c>
      <c r="G59" s="334">
        <f t="shared" si="38"/>
        <v>0</v>
      </c>
      <c r="H59" s="333">
        <f>H51-H54</f>
        <v>0</v>
      </c>
      <c r="I59" s="334">
        <f t="shared" si="39"/>
        <v>0</v>
      </c>
      <c r="J59" s="333">
        <f>J51-J54</f>
        <v>0</v>
      </c>
      <c r="K59" s="334">
        <f t="shared" si="35"/>
        <v>0</v>
      </c>
      <c r="L59" s="333">
        <f>L51-L54</f>
        <v>0</v>
      </c>
      <c r="M59" s="334">
        <f t="shared" si="24"/>
        <v>0</v>
      </c>
      <c r="N59" s="333">
        <f>N51-N54</f>
        <v>0</v>
      </c>
      <c r="O59" s="334">
        <f t="shared" si="36"/>
        <v>0</v>
      </c>
      <c r="P59" s="333">
        <f>P51-P54</f>
        <v>0</v>
      </c>
      <c r="Q59" s="335">
        <f t="shared" si="37"/>
        <v>0</v>
      </c>
    </row>
    <row r="60" spans="1:18" ht="15.75" thickBot="1" x14ac:dyDescent="0.3">
      <c r="A60" s="321" t="s">
        <v>417</v>
      </c>
      <c r="B60" s="322"/>
      <c r="C60" s="698" t="s">
        <v>398</v>
      </c>
      <c r="D60" s="699"/>
      <c r="E60" s="323">
        <v>0</v>
      </c>
      <c r="F60" s="323">
        <f>E60</f>
        <v>0</v>
      </c>
      <c r="G60" s="324">
        <f t="shared" si="38"/>
        <v>0</v>
      </c>
      <c r="H60" s="323">
        <f t="shared" si="40"/>
        <v>0</v>
      </c>
      <c r="I60" s="324">
        <f t="shared" si="39"/>
        <v>0</v>
      </c>
      <c r="J60" s="325">
        <f>(E60+F60+H60)/3</f>
        <v>0</v>
      </c>
      <c r="K60" s="324">
        <f t="shared" si="35"/>
        <v>0</v>
      </c>
      <c r="L60" s="323">
        <f>J60</f>
        <v>0</v>
      </c>
      <c r="M60" s="324">
        <f t="shared" si="24"/>
        <v>0</v>
      </c>
      <c r="N60" s="323">
        <f>L60</f>
        <v>0</v>
      </c>
      <c r="O60" s="324">
        <f t="shared" si="36"/>
        <v>0</v>
      </c>
      <c r="P60" s="323">
        <f>L60</f>
        <v>0</v>
      </c>
      <c r="Q60" s="326">
        <f t="shared" si="37"/>
        <v>0</v>
      </c>
    </row>
    <row r="61" spans="1:18" ht="15.75" thickBot="1" x14ac:dyDescent="0.3">
      <c r="A61" s="327" t="s">
        <v>417</v>
      </c>
      <c r="B61" s="328"/>
      <c r="C61" s="688" t="s">
        <v>418</v>
      </c>
      <c r="D61" s="689"/>
      <c r="E61" s="323">
        <v>0</v>
      </c>
      <c r="F61" s="323">
        <f>E61</f>
        <v>0</v>
      </c>
      <c r="G61" s="329">
        <f t="shared" si="38"/>
        <v>0</v>
      </c>
      <c r="H61" s="323">
        <f t="shared" si="40"/>
        <v>0</v>
      </c>
      <c r="I61" s="329">
        <f t="shared" si="39"/>
        <v>0</v>
      </c>
      <c r="J61" s="325">
        <f>(E61+F61+H61)/3</f>
        <v>0</v>
      </c>
      <c r="K61" s="329">
        <f t="shared" si="35"/>
        <v>0</v>
      </c>
      <c r="L61" s="323">
        <f>J61</f>
        <v>0</v>
      </c>
      <c r="M61" s="329">
        <f t="shared" si="24"/>
        <v>0</v>
      </c>
      <c r="N61" s="323">
        <f>L61</f>
        <v>0</v>
      </c>
      <c r="O61" s="329">
        <f t="shared" si="36"/>
        <v>0</v>
      </c>
      <c r="P61" s="323">
        <f>L61</f>
        <v>0</v>
      </c>
      <c r="Q61" s="330">
        <f t="shared" si="37"/>
        <v>0</v>
      </c>
    </row>
    <row r="62" spans="1:18" ht="15.75" thickBot="1" x14ac:dyDescent="0.3">
      <c r="A62" s="321" t="s">
        <v>417</v>
      </c>
      <c r="B62" s="322"/>
      <c r="C62" s="698" t="s">
        <v>419</v>
      </c>
      <c r="D62" s="699"/>
      <c r="E62" s="323">
        <v>0</v>
      </c>
      <c r="F62" s="323">
        <f>E62</f>
        <v>0</v>
      </c>
      <c r="G62" s="324">
        <f t="shared" si="38"/>
        <v>0</v>
      </c>
      <c r="H62" s="323">
        <f t="shared" si="40"/>
        <v>0</v>
      </c>
      <c r="I62" s="324">
        <f t="shared" si="39"/>
        <v>0</v>
      </c>
      <c r="J62" s="325">
        <f>(E62+F62+H62)/3</f>
        <v>0</v>
      </c>
      <c r="K62" s="324">
        <f t="shared" si="35"/>
        <v>0</v>
      </c>
      <c r="L62" s="323">
        <f>J62</f>
        <v>0</v>
      </c>
      <c r="M62" s="324">
        <f t="shared" si="24"/>
        <v>0</v>
      </c>
      <c r="N62" s="323">
        <f>J62</f>
        <v>0</v>
      </c>
      <c r="O62" s="324">
        <f t="shared" si="36"/>
        <v>0</v>
      </c>
      <c r="P62" s="323">
        <f>L62</f>
        <v>0</v>
      </c>
      <c r="Q62" s="326">
        <f t="shared" si="37"/>
        <v>0</v>
      </c>
    </row>
    <row r="63" spans="1:18" ht="15.75" thickBot="1" x14ac:dyDescent="0.3">
      <c r="A63" s="316" t="s">
        <v>417</v>
      </c>
      <c r="B63" s="696" t="s">
        <v>502</v>
      </c>
      <c r="C63" s="697"/>
      <c r="D63" s="697"/>
      <c r="E63" s="333">
        <f>E59-E60+E61-E62</f>
        <v>0</v>
      </c>
      <c r="F63" s="333">
        <f>F59-F60+F61-F62</f>
        <v>0</v>
      </c>
      <c r="G63" s="334">
        <f t="shared" si="38"/>
        <v>0</v>
      </c>
      <c r="H63" s="333">
        <f>H59-H60+H61-H62</f>
        <v>0</v>
      </c>
      <c r="I63" s="334">
        <f t="shared" si="39"/>
        <v>0</v>
      </c>
      <c r="J63" s="333">
        <f>J59-J60+J61-J62</f>
        <v>0</v>
      </c>
      <c r="K63" s="334">
        <f t="shared" si="35"/>
        <v>0</v>
      </c>
      <c r="L63" s="333">
        <f>L59-L60+L61-L62</f>
        <v>0</v>
      </c>
      <c r="M63" s="334">
        <f t="shared" si="24"/>
        <v>0</v>
      </c>
      <c r="N63" s="333">
        <f>N59-N60+N61-N62</f>
        <v>0</v>
      </c>
      <c r="O63" s="334">
        <f t="shared" si="36"/>
        <v>0</v>
      </c>
      <c r="P63" s="333">
        <f>P59-P60+P61-P62</f>
        <v>0</v>
      </c>
      <c r="Q63" s="335">
        <f t="shared" si="37"/>
        <v>0</v>
      </c>
    </row>
    <row r="64" spans="1:18" ht="15.75" thickBot="1" x14ac:dyDescent="0.3">
      <c r="A64" s="321" t="s">
        <v>417</v>
      </c>
      <c r="B64" s="322"/>
      <c r="C64" s="698" t="s">
        <v>399</v>
      </c>
      <c r="D64" s="699"/>
      <c r="E64" s="323">
        <v>0</v>
      </c>
      <c r="F64" s="323">
        <f>E64</f>
        <v>0</v>
      </c>
      <c r="G64" s="324">
        <f t="shared" si="38"/>
        <v>0</v>
      </c>
      <c r="H64" s="323">
        <f t="shared" si="40"/>
        <v>0</v>
      </c>
      <c r="I64" s="324">
        <f t="shared" si="39"/>
        <v>0</v>
      </c>
      <c r="J64" s="325">
        <f>(E64+F64+H64)/3</f>
        <v>0</v>
      </c>
      <c r="K64" s="324">
        <f t="shared" si="35"/>
        <v>0</v>
      </c>
      <c r="L64" s="323">
        <f>J64</f>
        <v>0</v>
      </c>
      <c r="M64" s="324">
        <f t="shared" si="24"/>
        <v>0</v>
      </c>
      <c r="N64" s="323">
        <f>J64</f>
        <v>0</v>
      </c>
      <c r="O64" s="324">
        <f t="shared" si="36"/>
        <v>0</v>
      </c>
      <c r="P64" s="323">
        <f>L64</f>
        <v>0</v>
      </c>
      <c r="Q64" s="326">
        <f t="shared" si="37"/>
        <v>0</v>
      </c>
    </row>
    <row r="65" spans="1:18" ht="15.75" thickBot="1" x14ac:dyDescent="0.3">
      <c r="A65" s="327" t="s">
        <v>417</v>
      </c>
      <c r="B65" s="328"/>
      <c r="C65" s="688" t="s">
        <v>400</v>
      </c>
      <c r="D65" s="689"/>
      <c r="E65" s="323">
        <v>0</v>
      </c>
      <c r="F65" s="323">
        <f>E65</f>
        <v>0</v>
      </c>
      <c r="G65" s="329">
        <f t="shared" si="38"/>
        <v>0</v>
      </c>
      <c r="H65" s="323">
        <f t="shared" si="40"/>
        <v>0</v>
      </c>
      <c r="I65" s="329">
        <f t="shared" si="39"/>
        <v>0</v>
      </c>
      <c r="J65" s="325">
        <f>(E65+F65+H65)/3</f>
        <v>0</v>
      </c>
      <c r="K65" s="329">
        <f t="shared" si="35"/>
        <v>0</v>
      </c>
      <c r="L65" s="323">
        <f>J65</f>
        <v>0</v>
      </c>
      <c r="M65" s="329">
        <f t="shared" si="24"/>
        <v>0</v>
      </c>
      <c r="N65" s="323">
        <f>J65</f>
        <v>0</v>
      </c>
      <c r="O65" s="329">
        <f t="shared" si="36"/>
        <v>0</v>
      </c>
      <c r="P65" s="323">
        <f>L65</f>
        <v>0</v>
      </c>
      <c r="Q65" s="330">
        <f t="shared" si="37"/>
        <v>0</v>
      </c>
    </row>
    <row r="66" spans="1:18" ht="15" customHeight="1" thickBot="1" x14ac:dyDescent="0.3">
      <c r="A66" s="321" t="s">
        <v>417</v>
      </c>
      <c r="B66" s="322"/>
      <c r="C66" s="698" t="s">
        <v>401</v>
      </c>
      <c r="D66" s="699"/>
      <c r="E66" s="323">
        <v>0</v>
      </c>
      <c r="F66" s="323">
        <f>E66</f>
        <v>0</v>
      </c>
      <c r="G66" s="324">
        <f t="shared" si="38"/>
        <v>0</v>
      </c>
      <c r="H66" s="323">
        <f t="shared" si="40"/>
        <v>0</v>
      </c>
      <c r="I66" s="324">
        <f t="shared" si="39"/>
        <v>0</v>
      </c>
      <c r="J66" s="325">
        <f>(E66+F66+H66)/3</f>
        <v>0</v>
      </c>
      <c r="K66" s="324">
        <f t="shared" si="35"/>
        <v>0</v>
      </c>
      <c r="L66" s="323">
        <f>J66</f>
        <v>0</v>
      </c>
      <c r="M66" s="324">
        <f t="shared" si="24"/>
        <v>0</v>
      </c>
      <c r="N66" s="323">
        <f>J66</f>
        <v>0</v>
      </c>
      <c r="O66" s="324">
        <f t="shared" si="36"/>
        <v>0</v>
      </c>
      <c r="P66" s="323">
        <f>L66</f>
        <v>0</v>
      </c>
      <c r="Q66" s="326">
        <f t="shared" si="37"/>
        <v>0</v>
      </c>
    </row>
    <row r="67" spans="1:18" ht="15.75" thickBot="1" x14ac:dyDescent="0.3">
      <c r="A67" s="316" t="s">
        <v>417</v>
      </c>
      <c r="B67" s="696" t="s">
        <v>503</v>
      </c>
      <c r="C67" s="697"/>
      <c r="D67" s="697"/>
      <c r="E67" s="333">
        <f>E63-E64+E65-E66</f>
        <v>0</v>
      </c>
      <c r="F67" s="333">
        <f>F63-F64+F65-F66</f>
        <v>0</v>
      </c>
      <c r="G67" s="334">
        <f t="shared" si="38"/>
        <v>0</v>
      </c>
      <c r="H67" s="333">
        <f>H63-H64+H65-H66</f>
        <v>0</v>
      </c>
      <c r="I67" s="334">
        <f t="shared" si="39"/>
        <v>0</v>
      </c>
      <c r="J67" s="333">
        <f>J63-J64+J65-J66</f>
        <v>0</v>
      </c>
      <c r="K67" s="334">
        <f t="shared" si="35"/>
        <v>0</v>
      </c>
      <c r="L67" s="333">
        <f>L63-L64+L65-L66</f>
        <v>0</v>
      </c>
      <c r="M67" s="334">
        <f t="shared" si="24"/>
        <v>0</v>
      </c>
      <c r="N67" s="333">
        <f>N63-N64+N65-N66</f>
        <v>0</v>
      </c>
      <c r="O67" s="334">
        <f t="shared" si="36"/>
        <v>0</v>
      </c>
      <c r="P67" s="333">
        <f>P63-P64+P65-P66</f>
        <v>0</v>
      </c>
      <c r="Q67" s="335">
        <f t="shared" si="37"/>
        <v>0</v>
      </c>
    </row>
    <row r="68" spans="1:18" ht="15.75" thickBot="1" x14ac:dyDescent="0.3">
      <c r="A68" s="321" t="s">
        <v>417</v>
      </c>
      <c r="B68" s="322"/>
      <c r="C68" s="698" t="s">
        <v>402</v>
      </c>
      <c r="D68" s="699"/>
      <c r="E68" s="323">
        <v>0</v>
      </c>
      <c r="F68" s="323">
        <f t="shared" ref="F68:F73" si="41">E68</f>
        <v>0</v>
      </c>
      <c r="G68" s="324">
        <f t="shared" si="38"/>
        <v>0</v>
      </c>
      <c r="H68" s="323">
        <f t="shared" si="40"/>
        <v>0</v>
      </c>
      <c r="I68" s="324">
        <f t="shared" si="39"/>
        <v>0</v>
      </c>
      <c r="J68" s="325">
        <f t="shared" ref="J68:J73" si="42">(E68+F68+H68)/3</f>
        <v>0</v>
      </c>
      <c r="K68" s="324">
        <f t="shared" si="35"/>
        <v>0</v>
      </c>
      <c r="L68" s="323">
        <f t="shared" ref="L68:L73" si="43">J68</f>
        <v>0</v>
      </c>
      <c r="M68" s="324">
        <f t="shared" si="24"/>
        <v>0</v>
      </c>
      <c r="N68" s="323">
        <f t="shared" ref="N68:N73" si="44">J68</f>
        <v>0</v>
      </c>
      <c r="O68" s="324">
        <f t="shared" si="36"/>
        <v>0</v>
      </c>
      <c r="P68" s="323">
        <f t="shared" ref="P68:P73" si="45">L68</f>
        <v>0</v>
      </c>
      <c r="Q68" s="326">
        <f t="shared" si="37"/>
        <v>0</v>
      </c>
    </row>
    <row r="69" spans="1:18" ht="15.75" thickBot="1" x14ac:dyDescent="0.3">
      <c r="A69" s="327" t="s">
        <v>417</v>
      </c>
      <c r="B69" s="328"/>
      <c r="C69" s="688" t="s">
        <v>403</v>
      </c>
      <c r="D69" s="689"/>
      <c r="E69" s="323">
        <v>0</v>
      </c>
      <c r="F69" s="323">
        <f t="shared" si="41"/>
        <v>0</v>
      </c>
      <c r="G69" s="329">
        <f t="shared" si="38"/>
        <v>0</v>
      </c>
      <c r="H69" s="323">
        <f t="shared" si="40"/>
        <v>0</v>
      </c>
      <c r="I69" s="329">
        <f t="shared" si="39"/>
        <v>0</v>
      </c>
      <c r="J69" s="325">
        <f t="shared" si="42"/>
        <v>0</v>
      </c>
      <c r="K69" s="329">
        <f t="shared" si="35"/>
        <v>0</v>
      </c>
      <c r="L69" s="323">
        <f t="shared" si="43"/>
        <v>0</v>
      </c>
      <c r="M69" s="329">
        <f t="shared" si="24"/>
        <v>0</v>
      </c>
      <c r="N69" s="323">
        <f t="shared" si="44"/>
        <v>0</v>
      </c>
      <c r="O69" s="329">
        <f t="shared" si="36"/>
        <v>0</v>
      </c>
      <c r="P69" s="323">
        <f t="shared" si="45"/>
        <v>0</v>
      </c>
      <c r="Q69" s="330">
        <f t="shared" si="37"/>
        <v>0</v>
      </c>
    </row>
    <row r="70" spans="1:18" ht="15" customHeight="1" thickBot="1" x14ac:dyDescent="0.3">
      <c r="A70" s="321" t="s">
        <v>417</v>
      </c>
      <c r="B70" s="322"/>
      <c r="C70" s="698" t="s">
        <v>404</v>
      </c>
      <c r="D70" s="699"/>
      <c r="E70" s="323">
        <v>0</v>
      </c>
      <c r="F70" s="323">
        <f t="shared" si="41"/>
        <v>0</v>
      </c>
      <c r="G70" s="324">
        <f t="shared" si="38"/>
        <v>0</v>
      </c>
      <c r="H70" s="323">
        <f t="shared" si="40"/>
        <v>0</v>
      </c>
      <c r="I70" s="324">
        <f t="shared" si="39"/>
        <v>0</v>
      </c>
      <c r="J70" s="325">
        <f t="shared" si="42"/>
        <v>0</v>
      </c>
      <c r="K70" s="324">
        <f t="shared" si="35"/>
        <v>0</v>
      </c>
      <c r="L70" s="323">
        <f t="shared" si="43"/>
        <v>0</v>
      </c>
      <c r="M70" s="324">
        <f t="shared" si="24"/>
        <v>0</v>
      </c>
      <c r="N70" s="323">
        <f t="shared" si="44"/>
        <v>0</v>
      </c>
      <c r="O70" s="324">
        <f t="shared" si="36"/>
        <v>0</v>
      </c>
      <c r="P70" s="323">
        <f t="shared" si="45"/>
        <v>0</v>
      </c>
      <c r="Q70" s="326">
        <f t="shared" si="37"/>
        <v>0</v>
      </c>
    </row>
    <row r="71" spans="1:18" ht="15.75" thickBot="1" x14ac:dyDescent="0.3">
      <c r="A71" s="327" t="s">
        <v>417</v>
      </c>
      <c r="B71" s="328"/>
      <c r="C71" s="698" t="s">
        <v>405</v>
      </c>
      <c r="D71" s="699"/>
      <c r="E71" s="323">
        <v>0</v>
      </c>
      <c r="F71" s="323">
        <f t="shared" si="41"/>
        <v>0</v>
      </c>
      <c r="G71" s="329">
        <f t="shared" si="38"/>
        <v>0</v>
      </c>
      <c r="H71" s="323">
        <f t="shared" si="40"/>
        <v>0</v>
      </c>
      <c r="I71" s="329">
        <f t="shared" si="39"/>
        <v>0</v>
      </c>
      <c r="J71" s="325">
        <f t="shared" si="42"/>
        <v>0</v>
      </c>
      <c r="K71" s="329">
        <f t="shared" si="35"/>
        <v>0</v>
      </c>
      <c r="L71" s="323">
        <f t="shared" si="43"/>
        <v>0</v>
      </c>
      <c r="M71" s="329">
        <f t="shared" si="24"/>
        <v>0</v>
      </c>
      <c r="N71" s="323">
        <f t="shared" si="44"/>
        <v>0</v>
      </c>
      <c r="O71" s="329">
        <f t="shared" si="36"/>
        <v>0</v>
      </c>
      <c r="P71" s="323">
        <f t="shared" si="45"/>
        <v>0</v>
      </c>
      <c r="Q71" s="330">
        <f t="shared" si="37"/>
        <v>0</v>
      </c>
    </row>
    <row r="72" spans="1:18" ht="15.75" thickBot="1" x14ac:dyDescent="0.3">
      <c r="A72" s="321" t="s">
        <v>417</v>
      </c>
      <c r="B72" s="322"/>
      <c r="C72" s="688" t="s">
        <v>406</v>
      </c>
      <c r="D72" s="689"/>
      <c r="E72" s="323">
        <v>0</v>
      </c>
      <c r="F72" s="323">
        <f t="shared" si="41"/>
        <v>0</v>
      </c>
      <c r="G72" s="324">
        <f t="shared" si="38"/>
        <v>0</v>
      </c>
      <c r="H72" s="323">
        <f t="shared" si="40"/>
        <v>0</v>
      </c>
      <c r="I72" s="324">
        <f t="shared" si="39"/>
        <v>0</v>
      </c>
      <c r="J72" s="325">
        <f t="shared" si="42"/>
        <v>0</v>
      </c>
      <c r="K72" s="324">
        <f t="shared" si="35"/>
        <v>0</v>
      </c>
      <c r="L72" s="323">
        <f t="shared" si="43"/>
        <v>0</v>
      </c>
      <c r="M72" s="324">
        <f t="shared" si="24"/>
        <v>0</v>
      </c>
      <c r="N72" s="323">
        <f t="shared" si="44"/>
        <v>0</v>
      </c>
      <c r="O72" s="324">
        <f t="shared" si="36"/>
        <v>0</v>
      </c>
      <c r="P72" s="323">
        <f t="shared" si="45"/>
        <v>0</v>
      </c>
      <c r="Q72" s="326">
        <f t="shared" si="37"/>
        <v>0</v>
      </c>
    </row>
    <row r="73" spans="1:18" ht="15.75" thickBot="1" x14ac:dyDescent="0.3">
      <c r="A73" s="327" t="s">
        <v>417</v>
      </c>
      <c r="B73" s="328"/>
      <c r="C73" s="698" t="s">
        <v>407</v>
      </c>
      <c r="D73" s="699"/>
      <c r="E73" s="323">
        <v>0</v>
      </c>
      <c r="F73" s="323">
        <f t="shared" si="41"/>
        <v>0</v>
      </c>
      <c r="G73" s="329">
        <f t="shared" si="38"/>
        <v>0</v>
      </c>
      <c r="H73" s="323">
        <f t="shared" si="40"/>
        <v>0</v>
      </c>
      <c r="I73" s="329">
        <f t="shared" si="39"/>
        <v>0</v>
      </c>
      <c r="J73" s="325">
        <f t="shared" si="42"/>
        <v>0</v>
      </c>
      <c r="K73" s="329">
        <f t="shared" si="35"/>
        <v>0</v>
      </c>
      <c r="L73" s="323">
        <f t="shared" si="43"/>
        <v>0</v>
      </c>
      <c r="M73" s="329">
        <f t="shared" si="24"/>
        <v>0</v>
      </c>
      <c r="N73" s="323">
        <f t="shared" si="44"/>
        <v>0</v>
      </c>
      <c r="O73" s="329">
        <f t="shared" si="36"/>
        <v>0</v>
      </c>
      <c r="P73" s="323">
        <f t="shared" si="45"/>
        <v>0</v>
      </c>
      <c r="Q73" s="330">
        <f t="shared" si="37"/>
        <v>0</v>
      </c>
    </row>
    <row r="74" spans="1:18" ht="15.75" thickBot="1" x14ac:dyDescent="0.3">
      <c r="A74" s="316" t="s">
        <v>417</v>
      </c>
      <c r="B74" s="696" t="s">
        <v>496</v>
      </c>
      <c r="C74" s="697"/>
      <c r="D74" s="697"/>
      <c r="E74" s="333">
        <f>E67+E68-E69+E70+E71+E72+E73</f>
        <v>0</v>
      </c>
      <c r="F74" s="333">
        <f>F67+F68-F69+F70+F71+F72+F73</f>
        <v>0</v>
      </c>
      <c r="G74" s="334">
        <f t="shared" si="38"/>
        <v>0</v>
      </c>
      <c r="H74" s="333">
        <f>H67+H68-H69+H70+H71+H72+H73</f>
        <v>0</v>
      </c>
      <c r="I74" s="334">
        <f t="shared" si="39"/>
        <v>0</v>
      </c>
      <c r="J74" s="333">
        <f>J67+J68-J69+J70+J71+J72+J73</f>
        <v>0</v>
      </c>
      <c r="K74" s="334">
        <f t="shared" si="35"/>
        <v>0</v>
      </c>
      <c r="L74" s="333">
        <f>L67+L68-L69+L70+L71+L72+L73</f>
        <v>0</v>
      </c>
      <c r="M74" s="334">
        <f t="shared" si="24"/>
        <v>0</v>
      </c>
      <c r="N74" s="333">
        <f>N67+N68-N69+N70+N71+N72+N73</f>
        <v>0</v>
      </c>
      <c r="O74" s="334">
        <f t="shared" si="36"/>
        <v>0</v>
      </c>
      <c r="P74" s="333">
        <f>P67+P68-P69+P70+P71+P72+P73</f>
        <v>0</v>
      </c>
      <c r="Q74" s="335">
        <f t="shared" si="37"/>
        <v>0</v>
      </c>
    </row>
    <row r="75" spans="1:18" ht="15.75" thickBot="1" x14ac:dyDescent="0.3">
      <c r="A75" s="321" t="s">
        <v>417</v>
      </c>
      <c r="B75" s="322"/>
      <c r="C75" s="698" t="s">
        <v>408</v>
      </c>
      <c r="D75" s="699"/>
      <c r="E75" s="323">
        <v>0</v>
      </c>
      <c r="F75" s="323">
        <f>E75</f>
        <v>0</v>
      </c>
      <c r="G75" s="324">
        <f t="shared" si="38"/>
        <v>0</v>
      </c>
      <c r="H75" s="323">
        <f t="shared" si="40"/>
        <v>0</v>
      </c>
      <c r="I75" s="324">
        <f t="shared" si="39"/>
        <v>0</v>
      </c>
      <c r="J75" s="325">
        <f>(E75+F75+H75)/3</f>
        <v>0</v>
      </c>
      <c r="K75" s="324">
        <f t="shared" si="35"/>
        <v>0</v>
      </c>
      <c r="L75" s="323">
        <f>J75</f>
        <v>0</v>
      </c>
      <c r="M75" s="324">
        <f t="shared" si="24"/>
        <v>0</v>
      </c>
      <c r="N75" s="323">
        <f>J75</f>
        <v>0</v>
      </c>
      <c r="O75" s="324">
        <f t="shared" si="36"/>
        <v>0</v>
      </c>
      <c r="P75" s="323">
        <f>L75</f>
        <v>0</v>
      </c>
      <c r="Q75" s="326">
        <f t="shared" si="37"/>
        <v>0</v>
      </c>
    </row>
    <row r="76" spans="1:18" ht="15.75" thickBot="1" x14ac:dyDescent="0.3">
      <c r="A76" s="327" t="s">
        <v>417</v>
      </c>
      <c r="B76" s="328"/>
      <c r="C76" s="93" t="s">
        <v>504</v>
      </c>
      <c r="D76" s="331"/>
      <c r="E76" s="323">
        <v>0</v>
      </c>
      <c r="F76" s="323">
        <f>E76</f>
        <v>0</v>
      </c>
      <c r="G76" s="329">
        <f t="shared" si="38"/>
        <v>0</v>
      </c>
      <c r="H76" s="323">
        <f t="shared" si="40"/>
        <v>0</v>
      </c>
      <c r="I76" s="329">
        <f t="shared" si="39"/>
        <v>0</v>
      </c>
      <c r="J76" s="325">
        <f>(E76+F76+H76)/3</f>
        <v>0</v>
      </c>
      <c r="K76" s="329">
        <f t="shared" si="35"/>
        <v>0</v>
      </c>
      <c r="L76" s="323">
        <f>J76</f>
        <v>0</v>
      </c>
      <c r="M76" s="329">
        <f t="shared" si="24"/>
        <v>0</v>
      </c>
      <c r="N76" s="323">
        <f>J76</f>
        <v>0</v>
      </c>
      <c r="O76" s="329">
        <f t="shared" si="36"/>
        <v>0</v>
      </c>
      <c r="P76" s="323">
        <f>L76</f>
        <v>0</v>
      </c>
      <c r="Q76" s="330">
        <f t="shared" si="37"/>
        <v>0</v>
      </c>
    </row>
    <row r="77" spans="1:18" ht="15.75" thickBot="1" x14ac:dyDescent="0.3">
      <c r="A77" s="336" t="s">
        <v>417</v>
      </c>
      <c r="B77" s="703" t="s">
        <v>409</v>
      </c>
      <c r="C77" s="704"/>
      <c r="D77" s="704"/>
      <c r="E77" s="337">
        <f>E74-E75+E76</f>
        <v>0</v>
      </c>
      <c r="F77" s="337">
        <f>F74-F75+F76</f>
        <v>0</v>
      </c>
      <c r="G77" s="338">
        <f t="shared" si="38"/>
        <v>0</v>
      </c>
      <c r="H77" s="337">
        <f>H74-H75+H76</f>
        <v>0</v>
      </c>
      <c r="I77" s="338">
        <f t="shared" si="39"/>
        <v>0</v>
      </c>
      <c r="J77" s="337">
        <f>J74-J75+J76</f>
        <v>0</v>
      </c>
      <c r="K77" s="338">
        <f t="shared" si="35"/>
        <v>0</v>
      </c>
      <c r="L77" s="337">
        <f>L74-L75+L76</f>
        <v>0</v>
      </c>
      <c r="M77" s="339">
        <f t="shared" si="24"/>
        <v>0</v>
      </c>
      <c r="N77" s="337">
        <f>N74-N75+N76</f>
        <v>0</v>
      </c>
      <c r="O77" s="338">
        <f t="shared" si="36"/>
        <v>0</v>
      </c>
      <c r="P77" s="337">
        <f>P74-P75+P76</f>
        <v>0</v>
      </c>
      <c r="Q77" s="340">
        <f t="shared" si="37"/>
        <v>0</v>
      </c>
      <c r="R77" s="341"/>
    </row>
    <row r="78" spans="1:18" ht="16.5" thickBot="1" x14ac:dyDescent="0.3">
      <c r="A78" s="342" t="s">
        <v>426</v>
      </c>
      <c r="B78" s="343" t="s">
        <v>424</v>
      </c>
      <c r="C78" s="344"/>
      <c r="D78" s="344"/>
      <c r="E78" s="345">
        <f>E50</f>
        <v>2020</v>
      </c>
      <c r="F78" s="345">
        <f>F50</f>
        <v>2021</v>
      </c>
      <c r="G78" s="346"/>
      <c r="H78" s="345">
        <f>H50</f>
        <v>2022</v>
      </c>
      <c r="I78" s="346"/>
      <c r="J78" s="345" t="str">
        <f>J50</f>
        <v>Media 3 años</v>
      </c>
      <c r="K78" s="346"/>
      <c r="L78" s="345">
        <f>L50</f>
        <v>2023</v>
      </c>
      <c r="M78" s="346"/>
      <c r="N78" s="345">
        <f>N50</f>
        <v>2024</v>
      </c>
      <c r="O78" s="346"/>
      <c r="P78" s="345">
        <f>P50</f>
        <v>2025</v>
      </c>
      <c r="Q78" s="347"/>
    </row>
    <row r="79" spans="1:18" ht="15.75" thickBot="1" x14ac:dyDescent="0.3">
      <c r="A79" s="316" t="s">
        <v>426</v>
      </c>
      <c r="B79" s="696" t="s">
        <v>428</v>
      </c>
      <c r="C79" s="697"/>
      <c r="D79" s="697"/>
      <c r="E79" s="333">
        <f>IFERROR(E80/E81,0)</f>
        <v>0</v>
      </c>
      <c r="F79" s="333">
        <f>IFERROR(F80/F81,0)</f>
        <v>0</v>
      </c>
      <c r="G79" s="334">
        <f t="shared" ref="G79:G93" si="46">IF(ISNUMBER(+F79/E79-1),+F79/E79-1,0)</f>
        <v>0</v>
      </c>
      <c r="H79" s="333">
        <f>IFERROR(H80/H81,0)</f>
        <v>0</v>
      </c>
      <c r="I79" s="334">
        <f t="shared" ref="I79:I93" si="47">IF(ISNUMBER(+H79/F79-1),+H79/F79-1,0)</f>
        <v>0</v>
      </c>
      <c r="J79" s="348">
        <f>IFERROR(J80/J81,0)</f>
        <v>0</v>
      </c>
      <c r="K79" s="319">
        <f t="shared" ref="K79:K93" si="48">IFERROR(STDEV(E79,F79,H79)/AVERAGE(E79,F79,H79),0)</f>
        <v>0</v>
      </c>
      <c r="L79" s="333">
        <f>IFERROR(L80/L81,0)</f>
        <v>0</v>
      </c>
      <c r="M79" s="334">
        <f t="shared" si="24"/>
        <v>0</v>
      </c>
      <c r="N79" s="333">
        <f>IFERROR(N80/N81,0)</f>
        <v>0</v>
      </c>
      <c r="O79" s="334">
        <f t="shared" ref="O79:O93" si="49">IF(ISNUMBER(+N79/L79-1),+N79/L79-1,0)</f>
        <v>0</v>
      </c>
      <c r="P79" s="333">
        <f>IFERROR(P80/P81,0)</f>
        <v>0</v>
      </c>
      <c r="Q79" s="335">
        <f t="shared" ref="Q79:Q93" si="50">IF(ISNUMBER(+P79/L79-1),+P79/L79-1,0)</f>
        <v>0</v>
      </c>
    </row>
    <row r="80" spans="1:18" ht="15.75" thickBot="1" x14ac:dyDescent="0.3">
      <c r="A80" s="321" t="s">
        <v>426</v>
      </c>
      <c r="B80" s="322"/>
      <c r="C80" s="698" t="s">
        <v>505</v>
      </c>
      <c r="D80" s="708"/>
      <c r="E80" s="349">
        <f>E51</f>
        <v>0</v>
      </c>
      <c r="F80" s="349">
        <f>F51</f>
        <v>0</v>
      </c>
      <c r="G80" s="350">
        <f t="shared" si="46"/>
        <v>0</v>
      </c>
      <c r="H80" s="349">
        <f>H51</f>
        <v>0</v>
      </c>
      <c r="I80" s="350">
        <f t="shared" si="47"/>
        <v>0</v>
      </c>
      <c r="J80" s="351">
        <f>(E80+F80+H80)/3</f>
        <v>0</v>
      </c>
      <c r="K80" s="352">
        <f t="shared" si="48"/>
        <v>0</v>
      </c>
      <c r="L80" s="349">
        <f>L51</f>
        <v>0</v>
      </c>
      <c r="M80" s="350">
        <f t="shared" si="24"/>
        <v>0</v>
      </c>
      <c r="N80" s="349">
        <f>N51</f>
        <v>0</v>
      </c>
      <c r="O80" s="350">
        <f t="shared" si="49"/>
        <v>0</v>
      </c>
      <c r="P80" s="349">
        <f>P51</f>
        <v>0</v>
      </c>
      <c r="Q80" s="353">
        <f t="shared" si="50"/>
        <v>0</v>
      </c>
    </row>
    <row r="81" spans="1:17" ht="15.75" thickBot="1" x14ac:dyDescent="0.3">
      <c r="A81" s="327" t="s">
        <v>426</v>
      </c>
      <c r="B81" s="328"/>
      <c r="C81" s="688" t="s">
        <v>427</v>
      </c>
      <c r="D81" s="700"/>
      <c r="E81" s="354">
        <f>E80-E77</f>
        <v>0</v>
      </c>
      <c r="F81" s="354">
        <f>F80-F77</f>
        <v>0</v>
      </c>
      <c r="G81" s="355">
        <f t="shared" si="46"/>
        <v>0</v>
      </c>
      <c r="H81" s="354">
        <f>H80-H77</f>
        <v>0</v>
      </c>
      <c r="I81" s="355">
        <f t="shared" si="47"/>
        <v>0</v>
      </c>
      <c r="J81" s="356">
        <f>(E81+F81+H81)/3</f>
        <v>0</v>
      </c>
      <c r="K81" s="357">
        <f t="shared" si="48"/>
        <v>0</v>
      </c>
      <c r="L81" s="354">
        <f>L80-L77</f>
        <v>0</v>
      </c>
      <c r="M81" s="355">
        <f t="shared" si="24"/>
        <v>0</v>
      </c>
      <c r="N81" s="354">
        <f>N80-N77</f>
        <v>0</v>
      </c>
      <c r="O81" s="355">
        <f t="shared" si="49"/>
        <v>0</v>
      </c>
      <c r="P81" s="354">
        <f>P80-P77</f>
        <v>0</v>
      </c>
      <c r="Q81" s="358">
        <f t="shared" si="50"/>
        <v>0</v>
      </c>
    </row>
    <row r="82" spans="1:17" ht="15.75" thickBot="1" x14ac:dyDescent="0.3">
      <c r="A82" s="316" t="s">
        <v>426</v>
      </c>
      <c r="B82" s="696" t="s">
        <v>429</v>
      </c>
      <c r="C82" s="697"/>
      <c r="D82" s="697"/>
      <c r="E82" s="333">
        <f>IFERROR(E83/E84,0)</f>
        <v>0</v>
      </c>
      <c r="F82" s="333">
        <f>IFERROR(F83/F84,0)</f>
        <v>0</v>
      </c>
      <c r="G82" s="334">
        <f t="shared" si="46"/>
        <v>0</v>
      </c>
      <c r="H82" s="333">
        <f>IFERROR(H83/H84,0)</f>
        <v>0</v>
      </c>
      <c r="I82" s="334">
        <f t="shared" si="47"/>
        <v>0</v>
      </c>
      <c r="J82" s="348">
        <f>IFERROR(J83/J84,0)</f>
        <v>0</v>
      </c>
      <c r="K82" s="319">
        <f t="shared" si="48"/>
        <v>0</v>
      </c>
      <c r="L82" s="333">
        <f>IFERROR(L83/L84,0)</f>
        <v>0</v>
      </c>
      <c r="M82" s="334">
        <f t="shared" si="24"/>
        <v>0</v>
      </c>
      <c r="N82" s="333">
        <f>IFERROR(N83/N84,0)</f>
        <v>0</v>
      </c>
      <c r="O82" s="334">
        <f t="shared" si="49"/>
        <v>0</v>
      </c>
      <c r="P82" s="333">
        <f>IFERROR(P83/P84,0)</f>
        <v>0</v>
      </c>
      <c r="Q82" s="335">
        <f t="shared" si="50"/>
        <v>0</v>
      </c>
    </row>
    <row r="83" spans="1:17" ht="15.75" thickBot="1" x14ac:dyDescent="0.3">
      <c r="A83" s="321" t="s">
        <v>426</v>
      </c>
      <c r="B83" s="322"/>
      <c r="C83" s="698" t="s">
        <v>432</v>
      </c>
      <c r="D83" s="699"/>
      <c r="E83" s="349">
        <f>E18</f>
        <v>0</v>
      </c>
      <c r="F83" s="349">
        <f>F18</f>
        <v>0</v>
      </c>
      <c r="G83" s="350">
        <f t="shared" si="46"/>
        <v>0</v>
      </c>
      <c r="H83" s="349">
        <f>H18</f>
        <v>0</v>
      </c>
      <c r="I83" s="350">
        <f t="shared" si="47"/>
        <v>0</v>
      </c>
      <c r="J83" s="351">
        <f>(E83+F83+H83)/3</f>
        <v>0</v>
      </c>
      <c r="K83" s="352">
        <f t="shared" si="48"/>
        <v>0</v>
      </c>
      <c r="L83" s="349">
        <f>L18</f>
        <v>0</v>
      </c>
      <c r="M83" s="350">
        <f t="shared" si="24"/>
        <v>0</v>
      </c>
      <c r="N83" s="349">
        <f>N18</f>
        <v>0</v>
      </c>
      <c r="O83" s="350">
        <f t="shared" si="49"/>
        <v>0</v>
      </c>
      <c r="P83" s="349">
        <f>P18</f>
        <v>0</v>
      </c>
      <c r="Q83" s="353">
        <f t="shared" si="50"/>
        <v>0</v>
      </c>
    </row>
    <row r="84" spans="1:17" ht="15.75" thickBot="1" x14ac:dyDescent="0.3">
      <c r="A84" s="327" t="s">
        <v>426</v>
      </c>
      <c r="B84" s="328"/>
      <c r="C84" s="688" t="s">
        <v>433</v>
      </c>
      <c r="D84" s="689"/>
      <c r="E84" s="354">
        <f>E41</f>
        <v>0</v>
      </c>
      <c r="F84" s="354">
        <f>F41</f>
        <v>0</v>
      </c>
      <c r="G84" s="355">
        <f t="shared" si="46"/>
        <v>0</v>
      </c>
      <c r="H84" s="354">
        <f>H41</f>
        <v>0</v>
      </c>
      <c r="I84" s="355">
        <f t="shared" si="47"/>
        <v>0</v>
      </c>
      <c r="J84" s="356">
        <f>(E84+F84+H84)/3</f>
        <v>0</v>
      </c>
      <c r="K84" s="357">
        <f t="shared" si="48"/>
        <v>0</v>
      </c>
      <c r="L84" s="354">
        <f>L41</f>
        <v>0</v>
      </c>
      <c r="M84" s="355">
        <f t="shared" si="24"/>
        <v>0</v>
      </c>
      <c r="N84" s="354">
        <f>N41</f>
        <v>0</v>
      </c>
      <c r="O84" s="355">
        <f t="shared" si="49"/>
        <v>0</v>
      </c>
      <c r="P84" s="354">
        <f>P41</f>
        <v>0</v>
      </c>
      <c r="Q84" s="358">
        <f t="shared" si="50"/>
        <v>0</v>
      </c>
    </row>
    <row r="85" spans="1:17" ht="15.75" thickBot="1" x14ac:dyDescent="0.3">
      <c r="A85" s="316" t="s">
        <v>426</v>
      </c>
      <c r="B85" s="696" t="s">
        <v>430</v>
      </c>
      <c r="C85" s="697"/>
      <c r="D85" s="697"/>
      <c r="E85" s="333">
        <f>IFERROR(E86/E87,0)</f>
        <v>0</v>
      </c>
      <c r="F85" s="333">
        <f>IFERROR(F86/F87,0)</f>
        <v>0</v>
      </c>
      <c r="G85" s="334">
        <f t="shared" si="46"/>
        <v>0</v>
      </c>
      <c r="H85" s="333">
        <f>IFERROR(H86/H87,0)</f>
        <v>0</v>
      </c>
      <c r="I85" s="334">
        <f t="shared" si="47"/>
        <v>0</v>
      </c>
      <c r="J85" s="348">
        <f>IFERROR(J86/J87,2)</f>
        <v>2</v>
      </c>
      <c r="K85" s="319">
        <f t="shared" si="48"/>
        <v>0</v>
      </c>
      <c r="L85" s="333">
        <f>IFERROR(L86/L87,0)</f>
        <v>0</v>
      </c>
      <c r="M85" s="334">
        <f t="shared" si="24"/>
        <v>0</v>
      </c>
      <c r="N85" s="333">
        <f>IFERROR(N86/N87,0)</f>
        <v>0</v>
      </c>
      <c r="O85" s="334">
        <f t="shared" si="49"/>
        <v>0</v>
      </c>
      <c r="P85" s="333">
        <f>IFERROR(P86/P87,0)</f>
        <v>0</v>
      </c>
      <c r="Q85" s="335">
        <f t="shared" si="50"/>
        <v>0</v>
      </c>
    </row>
    <row r="86" spans="1:17" ht="15.75" thickBot="1" x14ac:dyDescent="0.3">
      <c r="A86" s="321" t="s">
        <v>426</v>
      </c>
      <c r="B86" s="322"/>
      <c r="C86" s="698" t="s">
        <v>434</v>
      </c>
      <c r="D86" s="699"/>
      <c r="E86" s="349">
        <f>E34</f>
        <v>0</v>
      </c>
      <c r="F86" s="349">
        <f>F34</f>
        <v>0</v>
      </c>
      <c r="G86" s="350">
        <f t="shared" si="46"/>
        <v>0</v>
      </c>
      <c r="H86" s="349">
        <f>H34</f>
        <v>0</v>
      </c>
      <c r="I86" s="350">
        <f t="shared" si="47"/>
        <v>0</v>
      </c>
      <c r="J86" s="351">
        <f>(E86+F86+H86)/3</f>
        <v>0</v>
      </c>
      <c r="K86" s="352">
        <f t="shared" si="48"/>
        <v>0</v>
      </c>
      <c r="L86" s="349">
        <f>L34</f>
        <v>0</v>
      </c>
      <c r="M86" s="350">
        <f t="shared" si="24"/>
        <v>0</v>
      </c>
      <c r="N86" s="349">
        <f>N34</f>
        <v>0</v>
      </c>
      <c r="O86" s="350">
        <f t="shared" si="49"/>
        <v>0</v>
      </c>
      <c r="P86" s="349">
        <f>P34</f>
        <v>0</v>
      </c>
      <c r="Q86" s="353">
        <f t="shared" si="50"/>
        <v>0</v>
      </c>
    </row>
    <row r="87" spans="1:17" ht="15.75" thickBot="1" x14ac:dyDescent="0.3">
      <c r="A87" s="327" t="s">
        <v>426</v>
      </c>
      <c r="B87" s="328"/>
      <c r="C87" s="688" t="s">
        <v>435</v>
      </c>
      <c r="D87" s="689"/>
      <c r="E87" s="354">
        <f>E31</f>
        <v>0</v>
      </c>
      <c r="F87" s="354">
        <f>F31</f>
        <v>0</v>
      </c>
      <c r="G87" s="355">
        <f t="shared" si="46"/>
        <v>0</v>
      </c>
      <c r="H87" s="354">
        <f>H31</f>
        <v>0</v>
      </c>
      <c r="I87" s="355">
        <f t="shared" si="47"/>
        <v>0</v>
      </c>
      <c r="J87" s="356">
        <f>(E87+F87+H87)/3</f>
        <v>0</v>
      </c>
      <c r="K87" s="357">
        <f t="shared" si="48"/>
        <v>0</v>
      </c>
      <c r="L87" s="354">
        <f>L31</f>
        <v>0</v>
      </c>
      <c r="M87" s="355">
        <f t="shared" si="24"/>
        <v>0</v>
      </c>
      <c r="N87" s="354">
        <f>N31</f>
        <v>0</v>
      </c>
      <c r="O87" s="355">
        <f t="shared" si="49"/>
        <v>0</v>
      </c>
      <c r="P87" s="354">
        <f>P31</f>
        <v>0</v>
      </c>
      <c r="Q87" s="358">
        <f t="shared" si="50"/>
        <v>0</v>
      </c>
    </row>
    <row r="88" spans="1:17" ht="15.75" thickBot="1" x14ac:dyDescent="0.3">
      <c r="A88" s="316" t="s">
        <v>426</v>
      </c>
      <c r="B88" s="696" t="s">
        <v>506</v>
      </c>
      <c r="C88" s="697"/>
      <c r="D88" s="697"/>
      <c r="E88" s="333">
        <f>IFERROR(E89/E90,0)</f>
        <v>0</v>
      </c>
      <c r="F88" s="333">
        <f>IFERROR(F89/F90,0)</f>
        <v>0</v>
      </c>
      <c r="G88" s="334">
        <f t="shared" si="46"/>
        <v>0</v>
      </c>
      <c r="H88" s="333">
        <f>IFERROR(H89/H90,0)</f>
        <v>0</v>
      </c>
      <c r="I88" s="334">
        <f t="shared" si="47"/>
        <v>0</v>
      </c>
      <c r="J88" s="348">
        <f>IFERROR(J89/J90,0)</f>
        <v>0</v>
      </c>
      <c r="K88" s="319">
        <f t="shared" si="48"/>
        <v>0</v>
      </c>
      <c r="L88" s="333">
        <f>IFERROR(L89/L90,0)</f>
        <v>0</v>
      </c>
      <c r="M88" s="334">
        <f t="shared" si="24"/>
        <v>0</v>
      </c>
      <c r="N88" s="333">
        <f>IFERROR(N89/N90,0)</f>
        <v>0</v>
      </c>
      <c r="O88" s="334">
        <f t="shared" si="49"/>
        <v>0</v>
      </c>
      <c r="P88" s="333">
        <f>IFERROR(P89/P90,0)</f>
        <v>0</v>
      </c>
      <c r="Q88" s="335">
        <f t="shared" si="50"/>
        <v>0</v>
      </c>
    </row>
    <row r="89" spans="1:17" ht="15.75" thickBot="1" x14ac:dyDescent="0.3">
      <c r="A89" s="321" t="s">
        <v>426</v>
      </c>
      <c r="B89" s="322"/>
      <c r="C89" s="698" t="s">
        <v>436</v>
      </c>
      <c r="D89" s="699"/>
      <c r="E89" s="349">
        <f>E74</f>
        <v>0</v>
      </c>
      <c r="F89" s="349">
        <f>F74</f>
        <v>0</v>
      </c>
      <c r="G89" s="350">
        <f t="shared" si="46"/>
        <v>0</v>
      </c>
      <c r="H89" s="349">
        <f>H74</f>
        <v>0</v>
      </c>
      <c r="I89" s="350">
        <f t="shared" si="47"/>
        <v>0</v>
      </c>
      <c r="J89" s="351">
        <f>(E89+F89+H89)/3</f>
        <v>0</v>
      </c>
      <c r="K89" s="352">
        <f t="shared" si="48"/>
        <v>0</v>
      </c>
      <c r="L89" s="349">
        <f>L74</f>
        <v>0</v>
      </c>
      <c r="M89" s="350">
        <f t="shared" si="24"/>
        <v>0</v>
      </c>
      <c r="N89" s="349">
        <f>N74</f>
        <v>0</v>
      </c>
      <c r="O89" s="350">
        <f t="shared" si="49"/>
        <v>0</v>
      </c>
      <c r="P89" s="349">
        <f>P74</f>
        <v>0</v>
      </c>
      <c r="Q89" s="353">
        <f t="shared" si="50"/>
        <v>0</v>
      </c>
    </row>
    <row r="90" spans="1:17" ht="15.75" thickBot="1" x14ac:dyDescent="0.3">
      <c r="A90" s="327" t="s">
        <v>426</v>
      </c>
      <c r="B90" s="328"/>
      <c r="C90" s="688" t="s">
        <v>437</v>
      </c>
      <c r="D90" s="689"/>
      <c r="E90" s="354">
        <f>E27</f>
        <v>0</v>
      </c>
      <c r="F90" s="354">
        <f>F27</f>
        <v>0</v>
      </c>
      <c r="G90" s="355">
        <f t="shared" si="46"/>
        <v>0</v>
      </c>
      <c r="H90" s="354">
        <f>H27</f>
        <v>0</v>
      </c>
      <c r="I90" s="355">
        <f t="shared" si="47"/>
        <v>0</v>
      </c>
      <c r="J90" s="356">
        <f>(E90+F90+H90)/3</f>
        <v>0</v>
      </c>
      <c r="K90" s="357">
        <f t="shared" si="48"/>
        <v>0</v>
      </c>
      <c r="L90" s="354">
        <f>L27</f>
        <v>0</v>
      </c>
      <c r="M90" s="355">
        <f t="shared" si="24"/>
        <v>0</v>
      </c>
      <c r="N90" s="354">
        <f>N27</f>
        <v>0</v>
      </c>
      <c r="O90" s="355">
        <f t="shared" si="49"/>
        <v>0</v>
      </c>
      <c r="P90" s="354">
        <f>P27</f>
        <v>0</v>
      </c>
      <c r="Q90" s="358">
        <f t="shared" si="50"/>
        <v>0</v>
      </c>
    </row>
    <row r="91" spans="1:17" ht="15.75" thickBot="1" x14ac:dyDescent="0.3">
      <c r="A91" s="316" t="s">
        <v>426</v>
      </c>
      <c r="B91" s="696" t="s">
        <v>431</v>
      </c>
      <c r="C91" s="697"/>
      <c r="D91" s="697"/>
      <c r="E91" s="333">
        <f>IFERROR(E92/E93,0)</f>
        <v>0</v>
      </c>
      <c r="F91" s="333">
        <f>IFERROR(F92/F93,0)</f>
        <v>0</v>
      </c>
      <c r="G91" s="334">
        <f t="shared" si="46"/>
        <v>0</v>
      </c>
      <c r="H91" s="333">
        <f>IFERROR(H92/H93,0)</f>
        <v>0</v>
      </c>
      <c r="I91" s="334">
        <f t="shared" si="47"/>
        <v>0</v>
      </c>
      <c r="J91" s="348">
        <f>IFERROR(J92/J93,0)</f>
        <v>0</v>
      </c>
      <c r="K91" s="319">
        <f t="shared" si="48"/>
        <v>0</v>
      </c>
      <c r="L91" s="333">
        <f>IFERROR(L92/L93,0)</f>
        <v>0</v>
      </c>
      <c r="M91" s="334">
        <f t="shared" si="24"/>
        <v>0</v>
      </c>
      <c r="N91" s="333">
        <f>IFERROR(N92/N93,0)</f>
        <v>0</v>
      </c>
      <c r="O91" s="334">
        <f t="shared" si="49"/>
        <v>0</v>
      </c>
      <c r="P91" s="333">
        <f>IFERROR(P92/P93,0)</f>
        <v>0</v>
      </c>
      <c r="Q91" s="335">
        <f t="shared" si="50"/>
        <v>0</v>
      </c>
    </row>
    <row r="92" spans="1:17" ht="15.75" thickBot="1" x14ac:dyDescent="0.3">
      <c r="A92" s="321" t="s">
        <v>426</v>
      </c>
      <c r="B92" s="322"/>
      <c r="C92" s="698" t="s">
        <v>438</v>
      </c>
      <c r="D92" s="699"/>
      <c r="E92" s="349">
        <f>E29</f>
        <v>0</v>
      </c>
      <c r="F92" s="349">
        <f>F29</f>
        <v>0</v>
      </c>
      <c r="G92" s="350">
        <f t="shared" si="46"/>
        <v>0</v>
      </c>
      <c r="H92" s="349">
        <f>H29</f>
        <v>0</v>
      </c>
      <c r="I92" s="350">
        <f t="shared" si="47"/>
        <v>0</v>
      </c>
      <c r="J92" s="351">
        <f>(E92+F92+H92)/3</f>
        <v>0</v>
      </c>
      <c r="K92" s="352">
        <f t="shared" si="48"/>
        <v>0</v>
      </c>
      <c r="L92" s="349">
        <f>L29</f>
        <v>0</v>
      </c>
      <c r="M92" s="350">
        <f t="shared" si="24"/>
        <v>0</v>
      </c>
      <c r="N92" s="349">
        <f>N29</f>
        <v>0</v>
      </c>
      <c r="O92" s="350">
        <f t="shared" si="49"/>
        <v>0</v>
      </c>
      <c r="P92" s="349">
        <f>P29</f>
        <v>0</v>
      </c>
      <c r="Q92" s="353">
        <f t="shared" si="50"/>
        <v>0</v>
      </c>
    </row>
    <row r="93" spans="1:17" ht="15.75" thickBot="1" x14ac:dyDescent="0.3">
      <c r="A93" s="327" t="s">
        <v>426</v>
      </c>
      <c r="B93" s="359"/>
      <c r="C93" s="701" t="s">
        <v>439</v>
      </c>
      <c r="D93" s="702"/>
      <c r="E93" s="360">
        <f>E34+E41</f>
        <v>0</v>
      </c>
      <c r="F93" s="360">
        <f>F34+F41</f>
        <v>0</v>
      </c>
      <c r="G93" s="361">
        <f t="shared" si="46"/>
        <v>0</v>
      </c>
      <c r="H93" s="360">
        <f>H34+H41</f>
        <v>0</v>
      </c>
      <c r="I93" s="361">
        <f t="shared" si="47"/>
        <v>0</v>
      </c>
      <c r="J93" s="362">
        <f>(E93+F93+H93)/3</f>
        <v>0</v>
      </c>
      <c r="K93" s="363">
        <f t="shared" si="48"/>
        <v>0</v>
      </c>
      <c r="L93" s="360">
        <f>L34+L41</f>
        <v>0</v>
      </c>
      <c r="M93" s="361">
        <f t="shared" si="24"/>
        <v>0</v>
      </c>
      <c r="N93" s="360">
        <f>N34+N41</f>
        <v>0</v>
      </c>
      <c r="O93" s="361">
        <f t="shared" si="49"/>
        <v>0</v>
      </c>
      <c r="P93" s="360">
        <f>P34+P41</f>
        <v>0</v>
      </c>
      <c r="Q93" s="364">
        <f t="shared" si="50"/>
        <v>0</v>
      </c>
    </row>
  </sheetData>
  <sheetProtection algorithmName="SHA-512" hashValue="3O4StMQKuEKMZVgoUVqOITpbvJX5GpbuJ+FXcCBCWlxCr8Sz7+VFAdFUCxz23DroEUWtS31a/r5oZKtFEYmgEw==" saltValue="ViIqfcin9IjbEMB1r7TBYg==" spinCount="100000" sheet="1" autoFilter="0"/>
  <autoFilter ref="A7:C7" xr:uid="{00000000-0009-0000-0000-000001000000}"/>
  <mergeCells count="96">
    <mergeCell ref="B34:D34"/>
    <mergeCell ref="C23:D23"/>
    <mergeCell ref="C25:D25"/>
    <mergeCell ref="C32:D32"/>
    <mergeCell ref="C30:D30"/>
    <mergeCell ref="C3:H3"/>
    <mergeCell ref="C11:D11"/>
    <mergeCell ref="C19:D19"/>
    <mergeCell ref="F9:G9"/>
    <mergeCell ref="H9:I9"/>
    <mergeCell ref="B18:D18"/>
    <mergeCell ref="C13:D13"/>
    <mergeCell ref="B10:D10"/>
    <mergeCell ref="C15:D15"/>
    <mergeCell ref="C14:D14"/>
    <mergeCell ref="M1:Q1"/>
    <mergeCell ref="C75:D75"/>
    <mergeCell ref="C80:D80"/>
    <mergeCell ref="C72:D72"/>
    <mergeCell ref="B67:D67"/>
    <mergeCell ref="B63:D63"/>
    <mergeCell ref="C53:D53"/>
    <mergeCell ref="C56:D56"/>
    <mergeCell ref="C60:D60"/>
    <mergeCell ref="C62:D62"/>
    <mergeCell ref="C39:D39"/>
    <mergeCell ref="C43:D43"/>
    <mergeCell ref="C45:D45"/>
    <mergeCell ref="C46:D46"/>
    <mergeCell ref="B1:K1"/>
    <mergeCell ref="C48:D48"/>
    <mergeCell ref="C93:D93"/>
    <mergeCell ref="C92:D92"/>
    <mergeCell ref="C70:D70"/>
    <mergeCell ref="C71:D71"/>
    <mergeCell ref="C87:D87"/>
    <mergeCell ref="B85:D85"/>
    <mergeCell ref="B88:D88"/>
    <mergeCell ref="B79:D79"/>
    <mergeCell ref="B91:D91"/>
    <mergeCell ref="B74:D74"/>
    <mergeCell ref="B77:D77"/>
    <mergeCell ref="C83:D83"/>
    <mergeCell ref="C86:D86"/>
    <mergeCell ref="C89:D89"/>
    <mergeCell ref="C84:D84"/>
    <mergeCell ref="C90:D90"/>
    <mergeCell ref="C81:D81"/>
    <mergeCell ref="C65:D65"/>
    <mergeCell ref="C69:D69"/>
    <mergeCell ref="B82:D82"/>
    <mergeCell ref="C73:D73"/>
    <mergeCell ref="C58:D58"/>
    <mergeCell ref="C61:D61"/>
    <mergeCell ref="C40:D40"/>
    <mergeCell ref="C44:D44"/>
    <mergeCell ref="B51:D51"/>
    <mergeCell ref="B54:D54"/>
    <mergeCell ref="B59:D59"/>
    <mergeCell ref="C57:D57"/>
    <mergeCell ref="C52:D52"/>
    <mergeCell ref="B41:D41"/>
    <mergeCell ref="B49:D49"/>
    <mergeCell ref="C47:D47"/>
    <mergeCell ref="C64:D64"/>
    <mergeCell ref="C66:D66"/>
    <mergeCell ref="C68:D68"/>
    <mergeCell ref="C2:H2"/>
    <mergeCell ref="C4:D4"/>
    <mergeCell ref="C16:D16"/>
    <mergeCell ref="C20:D20"/>
    <mergeCell ref="C22:D22"/>
    <mergeCell ref="C24:D24"/>
    <mergeCell ref="C26:D26"/>
    <mergeCell ref="C31:D31"/>
    <mergeCell ref="C33:D33"/>
    <mergeCell ref="C36:D36"/>
    <mergeCell ref="C38:D38"/>
    <mergeCell ref="C12:D12"/>
    <mergeCell ref="C55:D55"/>
    <mergeCell ref="C35:D35"/>
    <mergeCell ref="C42:D42"/>
    <mergeCell ref="C37:D37"/>
    <mergeCell ref="P50:Q50"/>
    <mergeCell ref="E8:K8"/>
    <mergeCell ref="L8:Q8"/>
    <mergeCell ref="L9:M9"/>
    <mergeCell ref="N9:O9"/>
    <mergeCell ref="F28:G28"/>
    <mergeCell ref="H28:I28"/>
    <mergeCell ref="F50:G50"/>
    <mergeCell ref="H50:I50"/>
    <mergeCell ref="P28:Q28"/>
    <mergeCell ref="C21:D21"/>
    <mergeCell ref="B27:D27"/>
    <mergeCell ref="B29:D29"/>
  </mergeCells>
  <pageMargins left="0.35433070866141736" right="0.15748031496062992" top="0.94488188976377963" bottom="0.6692913385826772" header="0.19685039370078741" footer="0.19685039370078741"/>
  <pageSetup paperSize="9" scale="64" fitToHeight="0" orientation="landscape" r:id="rId1"/>
  <headerFooter scaleWithDoc="0">
    <oddHeader>&amp;L&amp;G</oddHeader>
    <oddFooter>&amp;L&amp;"Eras Demi ITC,Normal"&amp;8&amp;G&amp;R&amp;8&amp;P/&amp;N</oddFooter>
  </headerFooter>
  <rowBreaks count="1" manualBreakCount="1">
    <brk id="77" min="1" max="16" man="1"/>
  </rowBreaks>
  <drawing r:id="rId2"/>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tabColor rgb="FF0070C0"/>
    <pageSetUpPr fitToPage="1"/>
  </sheetPr>
  <dimension ref="A1:M54"/>
  <sheetViews>
    <sheetView topLeftCell="B1" zoomScaleNormal="100" zoomScaleSheetLayoutView="110" workbookViewId="0">
      <selection activeCell="B1" sqref="B1:H1"/>
    </sheetView>
  </sheetViews>
  <sheetFormatPr baseColWidth="10" defaultColWidth="11.42578125" defaultRowHeight="15" x14ac:dyDescent="0.25"/>
  <cols>
    <col min="1" max="1" width="6.85546875" style="17" hidden="1" customWidth="1"/>
    <col min="2" max="2" width="9" style="17" customWidth="1"/>
    <col min="3" max="3" width="31" style="17" customWidth="1"/>
    <col min="4" max="4" width="20.28515625" style="17" customWidth="1"/>
    <col min="5" max="5" width="17.5703125" style="17" customWidth="1"/>
    <col min="6" max="6" width="10.140625" style="17" customWidth="1"/>
    <col min="7" max="7" width="13.28515625" style="17" customWidth="1"/>
    <col min="8" max="8" width="12.7109375" style="17" customWidth="1"/>
    <col min="9" max="9" width="5.42578125" style="17" customWidth="1"/>
    <col min="10" max="10" width="12" style="17" customWidth="1"/>
    <col min="11" max="11" width="14.140625" style="17" customWidth="1"/>
    <col min="12" max="12" width="16.5703125" style="17" customWidth="1"/>
    <col min="13" max="13" width="43.42578125" style="17" bestFit="1" customWidth="1"/>
    <col min="14" max="16384" width="11.42578125" style="17"/>
  </cols>
  <sheetData>
    <row r="1" spans="1:13" ht="24.75" customHeight="1" thickTop="1" thickBot="1" x14ac:dyDescent="0.4">
      <c r="A1" s="18"/>
      <c r="B1" s="660" t="str">
        <f>"CUADRO PRESUPUESTARIO PROYECTOS "&amp;LEFT(Baremo!C8,8)</f>
        <v xml:space="preserve">CUADRO PRESUPUESTARIO PROYECTOS Linea 3 </v>
      </c>
      <c r="C1" s="661"/>
      <c r="D1" s="661"/>
      <c r="E1" s="661"/>
      <c r="F1" s="661"/>
      <c r="G1" s="661"/>
      <c r="H1" s="661"/>
      <c r="I1" s="165"/>
      <c r="J1" s="710" t="str">
        <f>Baremo!J1</f>
        <v xml:space="preserve">  GDR: JA07  Convocatoria: 2020</v>
      </c>
      <c r="K1" s="710"/>
      <c r="L1" s="711"/>
    </row>
    <row r="2" spans="1:13" ht="16.5" thickTop="1" thickBot="1" x14ac:dyDescent="0.3">
      <c r="A2" s="18"/>
      <c r="B2" s="416" t="str">
        <f>Baremo!B2</f>
        <v>Proyecto:</v>
      </c>
      <c r="C2" s="712" t="str">
        <f>IF(Baremo!C2:I2=0,"",Baremo!C2:I2)</f>
        <v/>
      </c>
      <c r="D2" s="712"/>
      <c r="E2" s="712"/>
      <c r="F2" s="712"/>
      <c r="G2" s="712"/>
      <c r="H2" s="712"/>
      <c r="I2" s="712"/>
      <c r="J2" s="712"/>
      <c r="K2" s="712"/>
      <c r="L2" s="712"/>
    </row>
    <row r="3" spans="1:13" ht="15.75" customHeight="1" thickTop="1" thickBot="1" x14ac:dyDescent="0.3">
      <c r="A3" s="18"/>
      <c r="B3" s="168" t="str">
        <f>Baremo!B3</f>
        <v>Solicitante:</v>
      </c>
      <c r="C3" s="646" t="str">
        <f>IF(Baremo!C3:I3=0,"",Baremo!C3:I3)</f>
        <v/>
      </c>
      <c r="D3" s="646"/>
      <c r="E3" s="646"/>
      <c r="F3" s="646"/>
      <c r="G3" s="646"/>
      <c r="H3" s="646"/>
      <c r="I3" s="646"/>
      <c r="J3" s="646"/>
      <c r="K3" s="646"/>
      <c r="L3" s="646"/>
    </row>
    <row r="4" spans="1:13" ht="16.5" thickTop="1" thickBot="1" x14ac:dyDescent="0.3">
      <c r="A4" s="18"/>
      <c r="B4" s="168" t="str">
        <f>Baremo!B4</f>
        <v>Municipio:</v>
      </c>
      <c r="C4" s="646" t="str">
        <f>IF(Baremo!C4:I4=0,"",Baremo!C4:I4)</f>
        <v/>
      </c>
      <c r="D4" s="646"/>
      <c r="E4" s="171"/>
      <c r="F4" s="171"/>
      <c r="G4" s="171"/>
      <c r="H4" s="365"/>
      <c r="I4" s="366"/>
      <c r="J4" s="365"/>
      <c r="K4" s="365"/>
      <c r="L4" s="365"/>
    </row>
    <row r="5" spans="1:13" ht="16.5" thickTop="1" thickBot="1" x14ac:dyDescent="0.3">
      <c r="A5" s="18"/>
      <c r="B5" s="168" t="str">
        <f>Baremo!B5</f>
        <v>Fecha</v>
      </c>
      <c r="C5" s="173">
        <f>IF(Baremo!C5:I5=0,"",Baremo!C5:I5)</f>
        <v>44136</v>
      </c>
      <c r="D5" s="174"/>
      <c r="E5" s="175"/>
      <c r="F5" s="175"/>
      <c r="G5" s="175"/>
      <c r="H5" s="175"/>
      <c r="I5" s="367"/>
      <c r="J5" s="175"/>
      <c r="K5" s="175"/>
      <c r="L5" s="175"/>
    </row>
    <row r="6" spans="1:13" ht="16.5" thickTop="1" thickBot="1" x14ac:dyDescent="0.3">
      <c r="A6" s="18"/>
      <c r="B6" s="168"/>
      <c r="C6" s="368" t="s">
        <v>520</v>
      </c>
      <c r="D6" s="369" t="str">
        <f>Baremo!F10</f>
        <v>No</v>
      </c>
      <c r="E6" s="370" t="str">
        <f>IF(D6=Listas!$A$2,"",IF(D6=Listas!$A$3,"",Listas!$A$47))</f>
        <v/>
      </c>
      <c r="F6" s="175"/>
      <c r="G6" s="175"/>
      <c r="H6" s="175"/>
      <c r="I6" s="367"/>
      <c r="J6" s="175"/>
      <c r="K6" s="175"/>
      <c r="L6" s="175"/>
    </row>
    <row r="7" spans="1:13" ht="9" customHeight="1" thickTop="1" thickBot="1" x14ac:dyDescent="0.3">
      <c r="A7" s="327" t="s">
        <v>339</v>
      </c>
      <c r="B7" s="371"/>
      <c r="C7" s="372"/>
      <c r="D7" s="372"/>
      <c r="E7" s="372"/>
      <c r="F7" s="372"/>
      <c r="G7" s="372"/>
      <c r="H7" s="372"/>
      <c r="I7" s="373"/>
      <c r="J7" s="372"/>
      <c r="K7" s="372"/>
      <c r="L7" s="374"/>
    </row>
    <row r="8" spans="1:13" ht="32.25" customHeight="1" thickBot="1" x14ac:dyDescent="0.3">
      <c r="A8" s="375" t="s">
        <v>551</v>
      </c>
      <c r="B8" s="376"/>
      <c r="C8" s="377" t="s">
        <v>521</v>
      </c>
      <c r="D8" s="377" t="s">
        <v>522</v>
      </c>
      <c r="E8" s="378" t="s">
        <v>523</v>
      </c>
      <c r="F8" s="378" t="s">
        <v>524</v>
      </c>
      <c r="G8" s="378" t="s">
        <v>525</v>
      </c>
      <c r="H8" s="378" t="s">
        <v>526</v>
      </c>
      <c r="I8" s="379" t="s">
        <v>527</v>
      </c>
      <c r="J8" s="378" t="s">
        <v>528</v>
      </c>
      <c r="K8" s="378" t="s">
        <v>529</v>
      </c>
      <c r="L8" s="380" t="s">
        <v>530</v>
      </c>
    </row>
    <row r="9" spans="1:13" ht="20.25" customHeight="1" thickTop="1" thickBot="1" x14ac:dyDescent="0.3">
      <c r="A9" s="316" t="s">
        <v>478</v>
      </c>
      <c r="B9" s="381" t="s">
        <v>161</v>
      </c>
      <c r="C9" s="382"/>
      <c r="D9" s="383"/>
      <c r="E9" s="383"/>
      <c r="F9" s="383"/>
      <c r="G9" s="383"/>
      <c r="H9" s="384">
        <f>H10+H41+H48</f>
        <v>0</v>
      </c>
      <c r="I9" s="383"/>
      <c r="J9" s="384">
        <f>J10+J41+J48</f>
        <v>0</v>
      </c>
      <c r="K9" s="384">
        <f>K10+K41+K48</f>
        <v>0</v>
      </c>
      <c r="L9" s="385">
        <f>L10+L41+L48</f>
        <v>0</v>
      </c>
    </row>
    <row r="10" spans="1:13" ht="15.75" customHeight="1" thickBot="1" x14ac:dyDescent="0.3">
      <c r="A10" s="316" t="s">
        <v>553</v>
      </c>
      <c r="B10" s="74" t="s">
        <v>531</v>
      </c>
      <c r="C10" s="386"/>
      <c r="D10" s="386"/>
      <c r="E10" s="387"/>
      <c r="F10" s="387"/>
      <c r="G10" s="387"/>
      <c r="H10" s="388">
        <f>SUM(H11:H40)</f>
        <v>0</v>
      </c>
      <c r="I10" s="387"/>
      <c r="J10" s="388">
        <f>SUM(J11:J40)</f>
        <v>0</v>
      </c>
      <c r="K10" s="388">
        <f>SUM(K11:K40)</f>
        <v>0</v>
      </c>
      <c r="L10" s="389">
        <f>SUM(L11:L40)</f>
        <v>0</v>
      </c>
    </row>
    <row r="11" spans="1:13" ht="15.75" customHeight="1" thickBot="1" x14ac:dyDescent="0.3">
      <c r="A11" s="321" t="s">
        <v>553</v>
      </c>
      <c r="B11" s="322"/>
      <c r="C11" s="390"/>
      <c r="D11" s="391"/>
      <c r="E11" s="392"/>
      <c r="F11" s="393"/>
      <c r="G11" s="393"/>
      <c r="H11" s="394">
        <f>G11*F11</f>
        <v>0</v>
      </c>
      <c r="I11" s="395"/>
      <c r="J11" s="394">
        <f>H11*I11</f>
        <v>0</v>
      </c>
      <c r="K11" s="396">
        <f>IF(C11&lt;&gt;"",J11+H11,0)</f>
        <v>0</v>
      </c>
      <c r="L11" s="397">
        <f>IF(D11&lt;&gt;"",IF($D$6=Listas!$A$3,K11,H11),0)</f>
        <v>0</v>
      </c>
      <c r="M11" s="398" t="str">
        <f>IF(C11&lt;&gt;"",IF(D11="",Listas!$B$73,IF(E11="",Listas!$B$74,IF(F11=0,Listas!$B$75,IF(G11=0,Listas!$B$76,IF(I11="",Listas!$B$77,""))))),"")</f>
        <v/>
      </c>
    </row>
    <row r="12" spans="1:13" ht="15.75" customHeight="1" thickBot="1" x14ac:dyDescent="0.3">
      <c r="A12" s="321" t="s">
        <v>553</v>
      </c>
      <c r="B12" s="322"/>
      <c r="C12" s="390"/>
      <c r="D12" s="391"/>
      <c r="E12" s="392"/>
      <c r="F12" s="393"/>
      <c r="G12" s="393"/>
      <c r="H12" s="394">
        <f>G12*F12</f>
        <v>0</v>
      </c>
      <c r="I12" s="395"/>
      <c r="J12" s="394">
        <f>H12*I12</f>
        <v>0</v>
      </c>
      <c r="K12" s="396">
        <f t="shared" ref="K12:K54" si="0">IF(C12&lt;&gt;"",J12+H12,0)</f>
        <v>0</v>
      </c>
      <c r="L12" s="397">
        <f>IF(D12&lt;&gt;"",IF($D$6=Listas!$A$3,K12,H12),0)</f>
        <v>0</v>
      </c>
      <c r="M12" s="398" t="str">
        <f>IF(C12&lt;&gt;"",IF(D12="",Listas!$B$73,IF(E12="",Listas!$B$74,IF(F12=0,Listas!$B$75,IF(G12=0,Listas!$B$76,IF(I12="",Listas!$B$77,""))))),"")</f>
        <v/>
      </c>
    </row>
    <row r="13" spans="1:13" ht="15.75" customHeight="1" thickBot="1" x14ac:dyDescent="0.3">
      <c r="A13" s="321" t="s">
        <v>553</v>
      </c>
      <c r="B13" s="322"/>
      <c r="C13" s="390"/>
      <c r="D13" s="391"/>
      <c r="E13" s="392"/>
      <c r="F13" s="393"/>
      <c r="G13" s="393"/>
      <c r="H13" s="394">
        <f>G13*F13</f>
        <v>0</v>
      </c>
      <c r="I13" s="395"/>
      <c r="J13" s="394">
        <f>H13*I13</f>
        <v>0</v>
      </c>
      <c r="K13" s="396">
        <f t="shared" si="0"/>
        <v>0</v>
      </c>
      <c r="L13" s="397">
        <f>IF(D13&lt;&gt;"",IF($D$6=Listas!$A$3,K13,H13),0)</f>
        <v>0</v>
      </c>
      <c r="M13" s="398" t="str">
        <f>IF(C13&lt;&gt;"",IF(D13="",Listas!$B$73,IF(E13="",Listas!$B$74,IF(F13=0,Listas!$B$75,IF(G13=0,Listas!$B$76,IF(I13="",Listas!$B$77,""))))),"")</f>
        <v/>
      </c>
    </row>
    <row r="14" spans="1:13" ht="15.75" customHeight="1" thickBot="1" x14ac:dyDescent="0.3">
      <c r="A14" s="321" t="s">
        <v>553</v>
      </c>
      <c r="B14" s="322"/>
      <c r="C14" s="390"/>
      <c r="D14" s="391"/>
      <c r="E14" s="392"/>
      <c r="F14" s="393"/>
      <c r="G14" s="393"/>
      <c r="H14" s="394">
        <f t="shared" ref="H14:H40" si="1">G14*F14</f>
        <v>0</v>
      </c>
      <c r="I14" s="395"/>
      <c r="J14" s="394">
        <f t="shared" ref="J14:J40" si="2">H14*I14</f>
        <v>0</v>
      </c>
      <c r="K14" s="396">
        <f t="shared" si="0"/>
        <v>0</v>
      </c>
      <c r="L14" s="397">
        <f>IF(D14&lt;&gt;"",IF($D$6=Listas!$A$3,K14,H14),0)</f>
        <v>0</v>
      </c>
      <c r="M14" s="398" t="str">
        <f>IF(C14&lt;&gt;"",IF(D14="",Listas!$B$73,IF(E14="",Listas!$B$74,IF(F14=0,Listas!$B$75,IF(G14=0,Listas!$B$76,IF(I14="",Listas!$B$77,""))))),"")</f>
        <v/>
      </c>
    </row>
    <row r="15" spans="1:13" ht="15.75" customHeight="1" thickBot="1" x14ac:dyDescent="0.3">
      <c r="A15" s="321" t="s">
        <v>553</v>
      </c>
      <c r="B15" s="322"/>
      <c r="C15" s="390"/>
      <c r="D15" s="391"/>
      <c r="E15" s="392"/>
      <c r="F15" s="393"/>
      <c r="G15" s="393"/>
      <c r="H15" s="394">
        <f t="shared" si="1"/>
        <v>0</v>
      </c>
      <c r="I15" s="395"/>
      <c r="J15" s="394">
        <f t="shared" si="2"/>
        <v>0</v>
      </c>
      <c r="K15" s="396">
        <f t="shared" si="0"/>
        <v>0</v>
      </c>
      <c r="L15" s="397">
        <f>IF(D15&lt;&gt;"",IF($D$6=Listas!$A$3,K15,H15),0)</f>
        <v>0</v>
      </c>
      <c r="M15" s="398" t="str">
        <f>IF(C15&lt;&gt;"",IF(D15="",Listas!$B$73,IF(E15="",Listas!$B$74,IF(F15=0,Listas!$B$75,IF(G15=0,Listas!$B$76,IF(I15="",Listas!$B$77,""))))),"")</f>
        <v/>
      </c>
    </row>
    <row r="16" spans="1:13" ht="15.75" customHeight="1" thickBot="1" x14ac:dyDescent="0.3">
      <c r="A16" s="321" t="s">
        <v>553</v>
      </c>
      <c r="B16" s="322"/>
      <c r="C16" s="390"/>
      <c r="D16" s="391"/>
      <c r="E16" s="392"/>
      <c r="F16" s="393"/>
      <c r="G16" s="393"/>
      <c r="H16" s="394">
        <f t="shared" si="1"/>
        <v>0</v>
      </c>
      <c r="I16" s="395"/>
      <c r="J16" s="394">
        <f t="shared" si="2"/>
        <v>0</v>
      </c>
      <c r="K16" s="396">
        <f t="shared" si="0"/>
        <v>0</v>
      </c>
      <c r="L16" s="397">
        <f>IF(D16&lt;&gt;"",IF($D$6=Listas!$A$3,K16,H16),0)</f>
        <v>0</v>
      </c>
      <c r="M16" s="398" t="str">
        <f>IF(C16&lt;&gt;"",IF(D16="",Listas!$B$73,IF(E16="",Listas!$B$74,IF(F16=0,Listas!$B$75,IF(G16=0,Listas!$B$76,IF(I16="",Listas!$B$77,""))))),"")</f>
        <v/>
      </c>
    </row>
    <row r="17" spans="1:13" ht="15.75" customHeight="1" thickBot="1" x14ac:dyDescent="0.3">
      <c r="A17" s="321" t="s">
        <v>553</v>
      </c>
      <c r="B17" s="322"/>
      <c r="C17" s="390"/>
      <c r="D17" s="391"/>
      <c r="E17" s="392"/>
      <c r="F17" s="393"/>
      <c r="G17" s="393"/>
      <c r="H17" s="394">
        <f t="shared" si="1"/>
        <v>0</v>
      </c>
      <c r="I17" s="395"/>
      <c r="J17" s="394">
        <f t="shared" si="2"/>
        <v>0</v>
      </c>
      <c r="K17" s="396">
        <f t="shared" si="0"/>
        <v>0</v>
      </c>
      <c r="L17" s="397">
        <f>IF(D17&lt;&gt;"",IF($D$6=Listas!$A$3,K17,H17),0)</f>
        <v>0</v>
      </c>
      <c r="M17" s="398" t="str">
        <f>IF(C17&lt;&gt;"",IF(D17="",Listas!$B$73,IF(E17="",Listas!$B$74,IF(F17=0,Listas!$B$75,IF(G17=0,Listas!$B$76,IF(I17="",Listas!$B$77,""))))),"")</f>
        <v/>
      </c>
    </row>
    <row r="18" spans="1:13" ht="15.75" customHeight="1" thickBot="1" x14ac:dyDescent="0.3">
      <c r="A18" s="321" t="s">
        <v>553</v>
      </c>
      <c r="B18" s="322"/>
      <c r="C18" s="390"/>
      <c r="D18" s="391"/>
      <c r="E18" s="392"/>
      <c r="F18" s="393"/>
      <c r="G18" s="393"/>
      <c r="H18" s="394">
        <f t="shared" si="1"/>
        <v>0</v>
      </c>
      <c r="I18" s="395"/>
      <c r="J18" s="394">
        <f t="shared" si="2"/>
        <v>0</v>
      </c>
      <c r="K18" s="396">
        <f t="shared" si="0"/>
        <v>0</v>
      </c>
      <c r="L18" s="397">
        <f>IF(D18&lt;&gt;"",IF($D$6=Listas!$A$3,K18,H18),0)</f>
        <v>0</v>
      </c>
      <c r="M18" s="398" t="str">
        <f>IF(C18&lt;&gt;"",IF(D18="",Listas!$B$73,IF(E18="",Listas!$B$74,IF(F18=0,Listas!$B$75,IF(G18=0,Listas!$B$76,IF(I18="",Listas!$B$77,""))))),"")</f>
        <v/>
      </c>
    </row>
    <row r="19" spans="1:13" ht="15.75" customHeight="1" thickBot="1" x14ac:dyDescent="0.3">
      <c r="A19" s="321" t="s">
        <v>553</v>
      </c>
      <c r="B19" s="322"/>
      <c r="C19" s="390"/>
      <c r="D19" s="391"/>
      <c r="E19" s="392"/>
      <c r="F19" s="393"/>
      <c r="G19" s="393"/>
      <c r="H19" s="394">
        <f t="shared" si="1"/>
        <v>0</v>
      </c>
      <c r="I19" s="395"/>
      <c r="J19" s="394">
        <f t="shared" si="2"/>
        <v>0</v>
      </c>
      <c r="K19" s="396">
        <f t="shared" si="0"/>
        <v>0</v>
      </c>
      <c r="L19" s="397">
        <f>IF(D19&lt;&gt;"",IF($D$6=Listas!$A$3,K19,H19),0)</f>
        <v>0</v>
      </c>
      <c r="M19" s="398" t="str">
        <f>IF(C19&lt;&gt;"",IF(D19="",Listas!$B$73,IF(E19="",Listas!$B$74,IF(F19=0,Listas!$B$75,IF(G19=0,Listas!$B$76,IF(I19="",Listas!$B$77,""))))),"")</f>
        <v/>
      </c>
    </row>
    <row r="20" spans="1:13" ht="15.75" customHeight="1" thickBot="1" x14ac:dyDescent="0.3">
      <c r="A20" s="321" t="s">
        <v>553</v>
      </c>
      <c r="B20" s="322"/>
      <c r="C20" s="390"/>
      <c r="D20" s="391"/>
      <c r="E20" s="392"/>
      <c r="F20" s="393"/>
      <c r="G20" s="393"/>
      <c r="H20" s="394">
        <f t="shared" si="1"/>
        <v>0</v>
      </c>
      <c r="I20" s="395"/>
      <c r="J20" s="394">
        <f t="shared" si="2"/>
        <v>0</v>
      </c>
      <c r="K20" s="396">
        <f t="shared" si="0"/>
        <v>0</v>
      </c>
      <c r="L20" s="397">
        <f>IF(D20&lt;&gt;"",IF($D$6=Listas!$A$3,K20,H20),0)</f>
        <v>0</v>
      </c>
      <c r="M20" s="398" t="str">
        <f>IF(C20&lt;&gt;"",IF(D20="",Listas!$B$73,IF(E20="",Listas!$B$74,IF(F20=0,Listas!$B$75,IF(G20=0,Listas!$B$76,IF(I20="",Listas!$B$77,""))))),"")</f>
        <v/>
      </c>
    </row>
    <row r="21" spans="1:13" ht="15.75" customHeight="1" thickBot="1" x14ac:dyDescent="0.3">
      <c r="A21" s="321" t="s">
        <v>553</v>
      </c>
      <c r="B21" s="322"/>
      <c r="C21" s="390"/>
      <c r="D21" s="391"/>
      <c r="E21" s="392"/>
      <c r="F21" s="393"/>
      <c r="G21" s="393"/>
      <c r="H21" s="394">
        <f t="shared" si="1"/>
        <v>0</v>
      </c>
      <c r="I21" s="395"/>
      <c r="J21" s="394">
        <f t="shared" si="2"/>
        <v>0</v>
      </c>
      <c r="K21" s="396">
        <f t="shared" si="0"/>
        <v>0</v>
      </c>
      <c r="L21" s="397">
        <f>IF(D21&lt;&gt;"",IF($D$6=Listas!$A$3,K21,H21),0)</f>
        <v>0</v>
      </c>
      <c r="M21" s="398" t="str">
        <f>IF(C21&lt;&gt;"",IF(D21="",Listas!$B$73,IF(E21="",Listas!$B$74,IF(F21=0,Listas!$B$75,IF(G21=0,Listas!$B$76,IF(I21="",Listas!$B$77,""))))),"")</f>
        <v/>
      </c>
    </row>
    <row r="22" spans="1:13" ht="15.75" customHeight="1" thickBot="1" x14ac:dyDescent="0.3">
      <c r="A22" s="321" t="s">
        <v>553</v>
      </c>
      <c r="B22" s="322"/>
      <c r="C22" s="390"/>
      <c r="D22" s="391"/>
      <c r="E22" s="392"/>
      <c r="F22" s="393"/>
      <c r="G22" s="393"/>
      <c r="H22" s="394">
        <f t="shared" si="1"/>
        <v>0</v>
      </c>
      <c r="I22" s="395"/>
      <c r="J22" s="394">
        <f t="shared" si="2"/>
        <v>0</v>
      </c>
      <c r="K22" s="396">
        <f t="shared" si="0"/>
        <v>0</v>
      </c>
      <c r="L22" s="397">
        <f>IF(D22&lt;&gt;"",IF($D$6=Listas!$A$3,K22,H22),0)</f>
        <v>0</v>
      </c>
      <c r="M22" s="398" t="str">
        <f>IF(C22&lt;&gt;"",IF(D22="",Listas!$B$73,IF(E22="",Listas!$B$74,IF(F22=0,Listas!$B$75,IF(G22=0,Listas!$B$76,IF(I22="",Listas!$B$77,""))))),"")</f>
        <v/>
      </c>
    </row>
    <row r="23" spans="1:13" ht="15.75" customHeight="1" thickBot="1" x14ac:dyDescent="0.3">
      <c r="A23" s="321" t="s">
        <v>553</v>
      </c>
      <c r="B23" s="322"/>
      <c r="C23" s="390"/>
      <c r="D23" s="391"/>
      <c r="E23" s="392"/>
      <c r="F23" s="393"/>
      <c r="G23" s="393"/>
      <c r="H23" s="394">
        <f t="shared" si="1"/>
        <v>0</v>
      </c>
      <c r="I23" s="395"/>
      <c r="J23" s="394">
        <f t="shared" si="2"/>
        <v>0</v>
      </c>
      <c r="K23" s="396">
        <f t="shared" si="0"/>
        <v>0</v>
      </c>
      <c r="L23" s="397">
        <f>IF(D23&lt;&gt;"",IF($D$6=Listas!$A$3,K23,H23),0)</f>
        <v>0</v>
      </c>
      <c r="M23" s="398" t="str">
        <f>IF(C23&lt;&gt;"",IF(D23="",Listas!$B$73,IF(E23="",Listas!$B$74,IF(F23=0,Listas!$B$75,IF(G23=0,Listas!$B$76,IF(I23="",Listas!$B$77,""))))),"")</f>
        <v/>
      </c>
    </row>
    <row r="24" spans="1:13" ht="15.75" customHeight="1" thickBot="1" x14ac:dyDescent="0.3">
      <c r="A24" s="321" t="s">
        <v>553</v>
      </c>
      <c r="B24" s="322"/>
      <c r="C24" s="390"/>
      <c r="D24" s="391"/>
      <c r="E24" s="392"/>
      <c r="F24" s="393"/>
      <c r="G24" s="393"/>
      <c r="H24" s="394">
        <f t="shared" si="1"/>
        <v>0</v>
      </c>
      <c r="I24" s="395"/>
      <c r="J24" s="394">
        <f t="shared" si="2"/>
        <v>0</v>
      </c>
      <c r="K24" s="396">
        <f t="shared" si="0"/>
        <v>0</v>
      </c>
      <c r="L24" s="397">
        <f>IF(D24&lt;&gt;"",IF($D$6=Listas!$A$3,K24,H24),0)</f>
        <v>0</v>
      </c>
      <c r="M24" s="398" t="str">
        <f>IF(C24&lt;&gt;"",IF(D24="",Listas!$B$73,IF(E24="",Listas!$B$74,IF(F24=0,Listas!$B$75,IF(G24=0,Listas!$B$76,IF(I24="",Listas!$B$77,""))))),"")</f>
        <v/>
      </c>
    </row>
    <row r="25" spans="1:13" ht="15.75" customHeight="1" thickBot="1" x14ac:dyDescent="0.3">
      <c r="A25" s="321" t="s">
        <v>553</v>
      </c>
      <c r="B25" s="322"/>
      <c r="C25" s="390"/>
      <c r="D25" s="391"/>
      <c r="E25" s="392"/>
      <c r="F25" s="393"/>
      <c r="G25" s="393"/>
      <c r="H25" s="394">
        <f t="shared" si="1"/>
        <v>0</v>
      </c>
      <c r="I25" s="395"/>
      <c r="J25" s="394">
        <f t="shared" si="2"/>
        <v>0</v>
      </c>
      <c r="K25" s="396">
        <f t="shared" si="0"/>
        <v>0</v>
      </c>
      <c r="L25" s="397">
        <f>IF(D25&lt;&gt;"",IF($D$6=Listas!$A$3,K25,H25),0)</f>
        <v>0</v>
      </c>
      <c r="M25" s="398" t="str">
        <f>IF(C25&lt;&gt;"",IF(D25="",Listas!$B$73,IF(E25="",Listas!$B$74,IF(F25=0,Listas!$B$75,IF(G25=0,Listas!$B$76,IF(I25="",Listas!$B$77,""))))),"")</f>
        <v/>
      </c>
    </row>
    <row r="26" spans="1:13" ht="15.75" customHeight="1" thickBot="1" x14ac:dyDescent="0.3">
      <c r="A26" s="321" t="s">
        <v>553</v>
      </c>
      <c r="B26" s="322"/>
      <c r="C26" s="390"/>
      <c r="D26" s="391"/>
      <c r="E26" s="392"/>
      <c r="F26" s="393"/>
      <c r="G26" s="393"/>
      <c r="H26" s="394">
        <f t="shared" si="1"/>
        <v>0</v>
      </c>
      <c r="I26" s="395"/>
      <c r="J26" s="394">
        <f t="shared" si="2"/>
        <v>0</v>
      </c>
      <c r="K26" s="396">
        <f t="shared" si="0"/>
        <v>0</v>
      </c>
      <c r="L26" s="397">
        <f>IF(D26&lt;&gt;"",IF($D$6=Listas!$A$3,K26,H26),0)</f>
        <v>0</v>
      </c>
      <c r="M26" s="398" t="str">
        <f>IF(C26&lt;&gt;"",IF(D26="",Listas!$B$73,IF(E26="",Listas!$B$74,IF(F26=0,Listas!$B$75,IF(G26=0,Listas!$B$76,IF(I26="",Listas!$B$77,""))))),"")</f>
        <v/>
      </c>
    </row>
    <row r="27" spans="1:13" ht="15.75" customHeight="1" thickBot="1" x14ac:dyDescent="0.3">
      <c r="A27" s="321" t="s">
        <v>553</v>
      </c>
      <c r="B27" s="322"/>
      <c r="C27" s="390"/>
      <c r="D27" s="391"/>
      <c r="E27" s="392"/>
      <c r="F27" s="393"/>
      <c r="G27" s="393"/>
      <c r="H27" s="394">
        <f t="shared" si="1"/>
        <v>0</v>
      </c>
      <c r="I27" s="395"/>
      <c r="J27" s="394">
        <f t="shared" si="2"/>
        <v>0</v>
      </c>
      <c r="K27" s="396">
        <f t="shared" si="0"/>
        <v>0</v>
      </c>
      <c r="L27" s="397">
        <f>IF(D27&lt;&gt;"",IF($D$6=Listas!$A$3,K27,H27),0)</f>
        <v>0</v>
      </c>
      <c r="M27" s="398" t="str">
        <f>IF(C27&lt;&gt;"",IF(D27="",Listas!$B$73,IF(E27="",Listas!$B$74,IF(F27=0,Listas!$B$75,IF(G27=0,Listas!$B$76,IF(I27="",Listas!$B$77,""))))),"")</f>
        <v/>
      </c>
    </row>
    <row r="28" spans="1:13" ht="15.75" customHeight="1" thickBot="1" x14ac:dyDescent="0.3">
      <c r="A28" s="321" t="s">
        <v>553</v>
      </c>
      <c r="B28" s="322"/>
      <c r="C28" s="390"/>
      <c r="D28" s="391"/>
      <c r="E28" s="392"/>
      <c r="F28" s="393"/>
      <c r="G28" s="393"/>
      <c r="H28" s="394">
        <f t="shared" si="1"/>
        <v>0</v>
      </c>
      <c r="I28" s="395"/>
      <c r="J28" s="394">
        <f t="shared" si="2"/>
        <v>0</v>
      </c>
      <c r="K28" s="396">
        <f t="shared" si="0"/>
        <v>0</v>
      </c>
      <c r="L28" s="397">
        <f>IF(D28&lt;&gt;"",IF($D$6=Listas!$A$3,K28,H28),0)</f>
        <v>0</v>
      </c>
      <c r="M28" s="398" t="str">
        <f>IF(C28&lt;&gt;"",IF(D28="",Listas!$B$73,IF(E28="",Listas!$B$74,IF(F28=0,Listas!$B$75,IF(G28=0,Listas!$B$76,IF(I28="",Listas!$B$77,""))))),"")</f>
        <v/>
      </c>
    </row>
    <row r="29" spans="1:13" ht="15.75" customHeight="1" thickBot="1" x14ac:dyDescent="0.3">
      <c r="A29" s="321" t="s">
        <v>553</v>
      </c>
      <c r="B29" s="322"/>
      <c r="C29" s="390"/>
      <c r="D29" s="391"/>
      <c r="E29" s="392"/>
      <c r="F29" s="393"/>
      <c r="G29" s="393"/>
      <c r="H29" s="394">
        <f t="shared" si="1"/>
        <v>0</v>
      </c>
      <c r="I29" s="395"/>
      <c r="J29" s="394">
        <f t="shared" si="2"/>
        <v>0</v>
      </c>
      <c r="K29" s="396">
        <f t="shared" si="0"/>
        <v>0</v>
      </c>
      <c r="L29" s="397">
        <f>IF(D29&lt;&gt;"",IF($D$6=Listas!$A$3,K29,H29),0)</f>
        <v>0</v>
      </c>
      <c r="M29" s="398" t="str">
        <f>IF(C29&lt;&gt;"",IF(D29="",Listas!$B$73,IF(E29="",Listas!$B$74,IF(F29=0,Listas!$B$75,IF(G29=0,Listas!$B$76,IF(I29="",Listas!$B$77,""))))),"")</f>
        <v/>
      </c>
    </row>
    <row r="30" spans="1:13" ht="15.75" customHeight="1" thickBot="1" x14ac:dyDescent="0.3">
      <c r="A30" s="321" t="s">
        <v>553</v>
      </c>
      <c r="B30" s="322"/>
      <c r="C30" s="390"/>
      <c r="D30" s="391"/>
      <c r="E30" s="392"/>
      <c r="F30" s="393"/>
      <c r="G30" s="393"/>
      <c r="H30" s="394">
        <f t="shared" si="1"/>
        <v>0</v>
      </c>
      <c r="I30" s="395"/>
      <c r="J30" s="394">
        <f t="shared" si="2"/>
        <v>0</v>
      </c>
      <c r="K30" s="396">
        <f t="shared" si="0"/>
        <v>0</v>
      </c>
      <c r="L30" s="397">
        <f>IF(D30&lt;&gt;"",IF($D$6=Listas!$A$3,K30,H30),0)</f>
        <v>0</v>
      </c>
      <c r="M30" s="398" t="str">
        <f>IF(C30&lt;&gt;"",IF(D30="",Listas!$B$73,IF(E30="",Listas!$B$74,IF(F30=0,Listas!$B$75,IF(G30=0,Listas!$B$76,IF(I30="",Listas!$B$77,""))))),"")</f>
        <v/>
      </c>
    </row>
    <row r="31" spans="1:13" ht="15.75" customHeight="1" thickBot="1" x14ac:dyDescent="0.3">
      <c r="A31" s="321" t="s">
        <v>553</v>
      </c>
      <c r="B31" s="322"/>
      <c r="C31" s="390"/>
      <c r="D31" s="391"/>
      <c r="E31" s="392"/>
      <c r="F31" s="393"/>
      <c r="G31" s="393"/>
      <c r="H31" s="394">
        <f t="shared" si="1"/>
        <v>0</v>
      </c>
      <c r="I31" s="395"/>
      <c r="J31" s="394">
        <f t="shared" si="2"/>
        <v>0</v>
      </c>
      <c r="K31" s="396">
        <f t="shared" si="0"/>
        <v>0</v>
      </c>
      <c r="L31" s="397">
        <f>IF(D31&lt;&gt;"",IF($D$6=Listas!$A$3,K31,H31),0)</f>
        <v>0</v>
      </c>
      <c r="M31" s="398" t="str">
        <f>IF(C31&lt;&gt;"",IF(D31="",Listas!$B$73,IF(E31="",Listas!$B$74,IF(F31=0,Listas!$B$75,IF(G31=0,Listas!$B$76,IF(I31="",Listas!$B$77,""))))),"")</f>
        <v/>
      </c>
    </row>
    <row r="32" spans="1:13" ht="15.75" customHeight="1" thickBot="1" x14ac:dyDescent="0.3">
      <c r="A32" s="321" t="s">
        <v>553</v>
      </c>
      <c r="B32" s="322"/>
      <c r="C32" s="390"/>
      <c r="D32" s="391"/>
      <c r="E32" s="392"/>
      <c r="F32" s="393"/>
      <c r="G32" s="393"/>
      <c r="H32" s="394">
        <f t="shared" si="1"/>
        <v>0</v>
      </c>
      <c r="I32" s="395"/>
      <c r="J32" s="394">
        <f t="shared" si="2"/>
        <v>0</v>
      </c>
      <c r="K32" s="396">
        <f t="shared" si="0"/>
        <v>0</v>
      </c>
      <c r="L32" s="397">
        <f>IF(D32&lt;&gt;"",IF($D$6=Listas!$A$3,K32,H32),0)</f>
        <v>0</v>
      </c>
      <c r="M32" s="398" t="str">
        <f>IF(C32&lt;&gt;"",IF(D32="",Listas!$B$73,IF(E32="",Listas!$B$74,IF(F32=0,Listas!$B$75,IF(G32=0,Listas!$B$76,IF(I32="",Listas!$B$77,""))))),"")</f>
        <v/>
      </c>
    </row>
    <row r="33" spans="1:13" ht="15.75" customHeight="1" thickBot="1" x14ac:dyDescent="0.3">
      <c r="A33" s="321" t="s">
        <v>553</v>
      </c>
      <c r="B33" s="322"/>
      <c r="C33" s="390"/>
      <c r="D33" s="391"/>
      <c r="E33" s="392"/>
      <c r="F33" s="393"/>
      <c r="G33" s="393"/>
      <c r="H33" s="394">
        <f t="shared" si="1"/>
        <v>0</v>
      </c>
      <c r="I33" s="395"/>
      <c r="J33" s="394">
        <f t="shared" si="2"/>
        <v>0</v>
      </c>
      <c r="K33" s="396">
        <f t="shared" si="0"/>
        <v>0</v>
      </c>
      <c r="L33" s="397">
        <f>IF(D33&lt;&gt;"",IF($D$6=Listas!$A$3,K33,H33),0)</f>
        <v>0</v>
      </c>
      <c r="M33" s="398" t="str">
        <f>IF(C33&lt;&gt;"",IF(D33="",Listas!$B$73,IF(E33="",Listas!$B$74,IF(F33=0,Listas!$B$75,IF(G33=0,Listas!$B$76,IF(I33="",Listas!$B$77,""))))),"")</f>
        <v/>
      </c>
    </row>
    <row r="34" spans="1:13" ht="15.75" customHeight="1" thickBot="1" x14ac:dyDescent="0.3">
      <c r="A34" s="321" t="s">
        <v>553</v>
      </c>
      <c r="B34" s="322"/>
      <c r="C34" s="390"/>
      <c r="D34" s="391"/>
      <c r="E34" s="392"/>
      <c r="F34" s="393"/>
      <c r="G34" s="393"/>
      <c r="H34" s="394">
        <f t="shared" si="1"/>
        <v>0</v>
      </c>
      <c r="I34" s="395"/>
      <c r="J34" s="394">
        <f t="shared" si="2"/>
        <v>0</v>
      </c>
      <c r="K34" s="396">
        <f t="shared" si="0"/>
        <v>0</v>
      </c>
      <c r="L34" s="397">
        <f>IF(D34&lt;&gt;"",IF($D$6=Listas!$A$3,K34,H34),0)</f>
        <v>0</v>
      </c>
      <c r="M34" s="398" t="str">
        <f>IF(C34&lt;&gt;"",IF(D34="",Listas!$B$73,IF(E34="",Listas!$B$74,IF(F34=0,Listas!$B$75,IF(G34=0,Listas!$B$76,IF(I34="",Listas!$B$77,""))))),"")</f>
        <v/>
      </c>
    </row>
    <row r="35" spans="1:13" ht="15.75" customHeight="1" thickBot="1" x14ac:dyDescent="0.3">
      <c r="A35" s="321" t="s">
        <v>553</v>
      </c>
      <c r="B35" s="322"/>
      <c r="C35" s="390"/>
      <c r="D35" s="391"/>
      <c r="E35" s="392"/>
      <c r="F35" s="393"/>
      <c r="G35" s="393"/>
      <c r="H35" s="394">
        <f t="shared" si="1"/>
        <v>0</v>
      </c>
      <c r="I35" s="395"/>
      <c r="J35" s="394">
        <f t="shared" si="2"/>
        <v>0</v>
      </c>
      <c r="K35" s="396">
        <f t="shared" si="0"/>
        <v>0</v>
      </c>
      <c r="L35" s="397">
        <f>IF(D35&lt;&gt;"",IF($D$6=Listas!$A$3,K35,H35),0)</f>
        <v>0</v>
      </c>
      <c r="M35" s="398" t="str">
        <f>IF(C35&lt;&gt;"",IF(D35="",Listas!$B$73,IF(E35="",Listas!$B$74,IF(F35=0,Listas!$B$75,IF(G35=0,Listas!$B$76,IF(I35="",Listas!$B$77,""))))),"")</f>
        <v/>
      </c>
    </row>
    <row r="36" spans="1:13" ht="15.75" customHeight="1" thickBot="1" x14ac:dyDescent="0.3">
      <c r="A36" s="321" t="s">
        <v>553</v>
      </c>
      <c r="B36" s="322"/>
      <c r="C36" s="390"/>
      <c r="D36" s="391"/>
      <c r="E36" s="392"/>
      <c r="F36" s="393"/>
      <c r="G36" s="393"/>
      <c r="H36" s="394">
        <f t="shared" si="1"/>
        <v>0</v>
      </c>
      <c r="I36" s="395"/>
      <c r="J36" s="394">
        <f t="shared" si="2"/>
        <v>0</v>
      </c>
      <c r="K36" s="396">
        <f t="shared" si="0"/>
        <v>0</v>
      </c>
      <c r="L36" s="397">
        <f>IF(D36&lt;&gt;"",IF($D$6=Listas!$A$3,K36,H36),0)</f>
        <v>0</v>
      </c>
      <c r="M36" s="398" t="str">
        <f>IF(C36&lt;&gt;"",IF(D36="",Listas!$B$73,IF(E36="",Listas!$B$74,IF(F36=0,Listas!$B$75,IF(G36=0,Listas!$B$76,IF(I36="",Listas!$B$77,""))))),"")</f>
        <v/>
      </c>
    </row>
    <row r="37" spans="1:13" ht="15.75" customHeight="1" thickBot="1" x14ac:dyDescent="0.3">
      <c r="A37" s="321" t="s">
        <v>553</v>
      </c>
      <c r="B37" s="322"/>
      <c r="C37" s="390"/>
      <c r="D37" s="391"/>
      <c r="E37" s="392"/>
      <c r="F37" s="393"/>
      <c r="G37" s="393"/>
      <c r="H37" s="394">
        <f t="shared" si="1"/>
        <v>0</v>
      </c>
      <c r="I37" s="395"/>
      <c r="J37" s="394">
        <f t="shared" si="2"/>
        <v>0</v>
      </c>
      <c r="K37" s="396">
        <f t="shared" si="0"/>
        <v>0</v>
      </c>
      <c r="L37" s="397">
        <f>IF(D37&lt;&gt;"",IF($D$6=Listas!$A$3,K37,H37),0)</f>
        <v>0</v>
      </c>
      <c r="M37" s="398" t="str">
        <f>IF(C37&lt;&gt;"",IF(D37="",Listas!$B$73,IF(E37="",Listas!$B$74,IF(F37=0,Listas!$B$75,IF(G37=0,Listas!$B$76,IF(I37="",Listas!$B$77,""))))),"")</f>
        <v/>
      </c>
    </row>
    <row r="38" spans="1:13" ht="15.75" customHeight="1" thickBot="1" x14ac:dyDescent="0.3">
      <c r="A38" s="321" t="s">
        <v>553</v>
      </c>
      <c r="B38" s="322"/>
      <c r="C38" s="390"/>
      <c r="D38" s="391"/>
      <c r="E38" s="392"/>
      <c r="F38" s="393"/>
      <c r="G38" s="393"/>
      <c r="H38" s="394">
        <f t="shared" si="1"/>
        <v>0</v>
      </c>
      <c r="I38" s="395"/>
      <c r="J38" s="394">
        <f t="shared" si="2"/>
        <v>0</v>
      </c>
      <c r="K38" s="396">
        <f t="shared" si="0"/>
        <v>0</v>
      </c>
      <c r="L38" s="397">
        <f>IF(D38&lt;&gt;"",IF($D$6=Listas!$A$3,K38,H38),0)</f>
        <v>0</v>
      </c>
      <c r="M38" s="398" t="str">
        <f>IF(C38&lt;&gt;"",IF(D38="",Listas!$B$73,IF(E38="",Listas!$B$74,IF(F38=0,Listas!$B$75,IF(G38=0,Listas!$B$76,IF(I38="",Listas!$B$77,""))))),"")</f>
        <v/>
      </c>
    </row>
    <row r="39" spans="1:13" ht="15.75" customHeight="1" thickBot="1" x14ac:dyDescent="0.3">
      <c r="A39" s="321" t="s">
        <v>553</v>
      </c>
      <c r="B39" s="322"/>
      <c r="C39" s="390"/>
      <c r="D39" s="391"/>
      <c r="E39" s="392"/>
      <c r="F39" s="393"/>
      <c r="G39" s="393"/>
      <c r="H39" s="394">
        <f t="shared" si="1"/>
        <v>0</v>
      </c>
      <c r="I39" s="395"/>
      <c r="J39" s="394">
        <f t="shared" si="2"/>
        <v>0</v>
      </c>
      <c r="K39" s="396">
        <f t="shared" si="0"/>
        <v>0</v>
      </c>
      <c r="L39" s="397">
        <f>IF(D39&lt;&gt;"",IF($D$6=Listas!$A$3,K39,H39),0)</f>
        <v>0</v>
      </c>
      <c r="M39" s="398" t="str">
        <f>IF(C39&lt;&gt;"",IF(D39="",Listas!$B$73,IF(E39="",Listas!$B$74,IF(F39=0,Listas!$B$75,IF(G39=0,Listas!$B$76,IF(I39="",Listas!$B$77,""))))),"")</f>
        <v/>
      </c>
    </row>
    <row r="40" spans="1:13" ht="15.75" customHeight="1" thickBot="1" x14ac:dyDescent="0.3">
      <c r="A40" s="321" t="s">
        <v>553</v>
      </c>
      <c r="B40" s="322"/>
      <c r="C40" s="390"/>
      <c r="D40" s="391"/>
      <c r="E40" s="392"/>
      <c r="F40" s="393"/>
      <c r="G40" s="393"/>
      <c r="H40" s="394">
        <f t="shared" si="1"/>
        <v>0</v>
      </c>
      <c r="I40" s="395"/>
      <c r="J40" s="394">
        <f t="shared" si="2"/>
        <v>0</v>
      </c>
      <c r="K40" s="396">
        <f t="shared" si="0"/>
        <v>0</v>
      </c>
      <c r="L40" s="397">
        <f>IF(D40&lt;&gt;"",IF($D$6=Listas!$A$3,K40,H40),0)</f>
        <v>0</v>
      </c>
      <c r="M40" s="398" t="str">
        <f>IF(C40&lt;&gt;"",IF(D40="",Listas!$B$73,IF(E40="",Listas!$B$74,IF(F40=0,Listas!$B$75,IF(G40=0,Listas!$B$76,IF(I40="",Listas!$B$77,""))))),"")</f>
        <v/>
      </c>
    </row>
    <row r="41" spans="1:13" ht="15.75" customHeight="1" thickBot="1" x14ac:dyDescent="0.3">
      <c r="A41" s="316" t="s">
        <v>554</v>
      </c>
      <c r="B41" s="74" t="s">
        <v>533</v>
      </c>
      <c r="C41" s="399"/>
      <c r="D41" s="386"/>
      <c r="E41" s="400"/>
      <c r="F41" s="387"/>
      <c r="G41" s="387"/>
      <c r="H41" s="388">
        <f>SUM(H42:H47)</f>
        <v>0</v>
      </c>
      <c r="I41" s="401"/>
      <c r="J41" s="388">
        <f>SUM(J42:J47)</f>
        <v>0</v>
      </c>
      <c r="K41" s="388">
        <f>SUM(K42:K47)</f>
        <v>0</v>
      </c>
      <c r="L41" s="389">
        <f>SUM(L42:L47)</f>
        <v>0</v>
      </c>
      <c r="M41" s="398"/>
    </row>
    <row r="42" spans="1:13" ht="15.75" customHeight="1" thickBot="1" x14ac:dyDescent="0.3">
      <c r="A42" s="321" t="s">
        <v>554</v>
      </c>
      <c r="B42" s="322"/>
      <c r="C42" s="390"/>
      <c r="D42" s="391"/>
      <c r="E42" s="392"/>
      <c r="F42" s="393"/>
      <c r="G42" s="393"/>
      <c r="H42" s="394">
        <f t="shared" ref="H42:H47" si="3">G42*F42</f>
        <v>0</v>
      </c>
      <c r="I42" s="395"/>
      <c r="J42" s="394">
        <f t="shared" ref="J42:J47" si="4">H42*I42</f>
        <v>0</v>
      </c>
      <c r="K42" s="396">
        <f t="shared" si="0"/>
        <v>0</v>
      </c>
      <c r="L42" s="397">
        <f>IF(D42&lt;&gt;"",IF($D$6=Listas!$A$3,K42,H42),0)</f>
        <v>0</v>
      </c>
      <c r="M42" s="398" t="str">
        <f>IF(C42&lt;&gt;"",IF(D42="",Listas!$B$73,IF(E42="",Listas!$B$74,IF(F42=0,Listas!$B$75,IF(G42=0,Listas!$B$76,IF(I42="",Listas!$B$77,""))))),"")</f>
        <v/>
      </c>
    </row>
    <row r="43" spans="1:13" ht="15.75" customHeight="1" thickBot="1" x14ac:dyDescent="0.3">
      <c r="A43" s="321" t="s">
        <v>554</v>
      </c>
      <c r="B43" s="322"/>
      <c r="C43" s="390"/>
      <c r="D43" s="391"/>
      <c r="E43" s="392"/>
      <c r="F43" s="393"/>
      <c r="G43" s="393"/>
      <c r="H43" s="394">
        <f t="shared" si="3"/>
        <v>0</v>
      </c>
      <c r="I43" s="395"/>
      <c r="J43" s="394">
        <f t="shared" si="4"/>
        <v>0</v>
      </c>
      <c r="K43" s="396">
        <f t="shared" si="0"/>
        <v>0</v>
      </c>
      <c r="L43" s="397">
        <f>IF(D43&lt;&gt;"",IF($D$6=Listas!$A$3,K43,H43),0)</f>
        <v>0</v>
      </c>
      <c r="M43" s="398" t="str">
        <f>IF(C43&lt;&gt;"",IF(D43="",Listas!$B$73,IF(E43="",Listas!$B$74,IF(F43=0,Listas!$B$75,IF(G43=0,Listas!$B$76,IF(I43="",Listas!$B$77,""))))),"")</f>
        <v/>
      </c>
    </row>
    <row r="44" spans="1:13" ht="15.75" customHeight="1" thickBot="1" x14ac:dyDescent="0.3">
      <c r="A44" s="321" t="s">
        <v>554</v>
      </c>
      <c r="B44" s="322"/>
      <c r="C44" s="390"/>
      <c r="D44" s="391"/>
      <c r="E44" s="392"/>
      <c r="F44" s="393"/>
      <c r="G44" s="393"/>
      <c r="H44" s="394">
        <f t="shared" si="3"/>
        <v>0</v>
      </c>
      <c r="I44" s="395"/>
      <c r="J44" s="394">
        <f t="shared" si="4"/>
        <v>0</v>
      </c>
      <c r="K44" s="396">
        <f t="shared" si="0"/>
        <v>0</v>
      </c>
      <c r="L44" s="397">
        <f>IF(D44&lt;&gt;"",IF($D$6=Listas!$A$3,K44,H44),0)</f>
        <v>0</v>
      </c>
      <c r="M44" s="398" t="str">
        <f>IF(C44&lt;&gt;"",IF(D44="",Listas!$B$73,IF(E44="",Listas!$B$74,IF(F44=0,Listas!$B$75,IF(G44=0,Listas!$B$76,IF(I44="",Listas!$B$77,""))))),"")</f>
        <v/>
      </c>
    </row>
    <row r="45" spans="1:13" ht="15.75" customHeight="1" thickBot="1" x14ac:dyDescent="0.3">
      <c r="A45" s="321" t="s">
        <v>554</v>
      </c>
      <c r="B45" s="322"/>
      <c r="C45" s="390"/>
      <c r="D45" s="391"/>
      <c r="E45" s="392"/>
      <c r="F45" s="393"/>
      <c r="G45" s="393"/>
      <c r="H45" s="394">
        <f t="shared" si="3"/>
        <v>0</v>
      </c>
      <c r="I45" s="395"/>
      <c r="J45" s="394">
        <f t="shared" si="4"/>
        <v>0</v>
      </c>
      <c r="K45" s="396">
        <f t="shared" si="0"/>
        <v>0</v>
      </c>
      <c r="L45" s="397">
        <f>IF(D45&lt;&gt;"",IF($D$6=Listas!$A$3,K45,H45),0)</f>
        <v>0</v>
      </c>
      <c r="M45" s="398" t="str">
        <f>IF(C45&lt;&gt;"",IF(D45="",Listas!$B$73,IF(E45="",Listas!$B$74,IF(F45=0,Listas!$B$75,IF(G45=0,Listas!$B$76,IF(I45="",Listas!$B$77,""))))),"")</f>
        <v/>
      </c>
    </row>
    <row r="46" spans="1:13" ht="15.75" customHeight="1" thickBot="1" x14ac:dyDescent="0.3">
      <c r="A46" s="321" t="s">
        <v>554</v>
      </c>
      <c r="B46" s="322"/>
      <c r="C46" s="390"/>
      <c r="D46" s="391"/>
      <c r="E46" s="392"/>
      <c r="F46" s="393"/>
      <c r="G46" s="393"/>
      <c r="H46" s="394">
        <f t="shared" si="3"/>
        <v>0</v>
      </c>
      <c r="I46" s="395"/>
      <c r="J46" s="394">
        <f t="shared" si="4"/>
        <v>0</v>
      </c>
      <c r="K46" s="396">
        <f t="shared" si="0"/>
        <v>0</v>
      </c>
      <c r="L46" s="397">
        <f>IF(D46&lt;&gt;"",IF($D$6=Listas!$A$3,K46,H46),0)</f>
        <v>0</v>
      </c>
      <c r="M46" s="398" t="str">
        <f>IF(C46&lt;&gt;"",IF(D46="",Listas!$B$73,IF(E46="",Listas!$B$74,IF(F46=0,Listas!$B$75,IF(G46=0,Listas!$B$76,IF(I46="",Listas!$B$77,""))))),"")</f>
        <v/>
      </c>
    </row>
    <row r="47" spans="1:13" ht="15.75" customHeight="1" thickBot="1" x14ac:dyDescent="0.3">
      <c r="A47" s="321" t="s">
        <v>554</v>
      </c>
      <c r="B47" s="322"/>
      <c r="C47" s="390"/>
      <c r="D47" s="391"/>
      <c r="E47" s="392"/>
      <c r="F47" s="393"/>
      <c r="G47" s="393"/>
      <c r="H47" s="394">
        <f t="shared" si="3"/>
        <v>0</v>
      </c>
      <c r="I47" s="395"/>
      <c r="J47" s="394">
        <f t="shared" si="4"/>
        <v>0</v>
      </c>
      <c r="K47" s="396">
        <f t="shared" si="0"/>
        <v>0</v>
      </c>
      <c r="L47" s="397">
        <f>IF(D47&lt;&gt;"",IF($D$6=Listas!$A$3,K47,H47),0)</f>
        <v>0</v>
      </c>
      <c r="M47" s="398" t="str">
        <f>IF(C47&lt;&gt;"",IF(D47="",Listas!$B$73,IF(E47="",Listas!$B$74,IF(F47=0,Listas!$B$75,IF(G47=0,Listas!$B$76,IF(I47="",Listas!$B$77,""))))),"")</f>
        <v/>
      </c>
    </row>
    <row r="48" spans="1:13" ht="15.75" customHeight="1" thickBot="1" x14ac:dyDescent="0.3">
      <c r="A48" s="316" t="s">
        <v>552</v>
      </c>
      <c r="B48" s="74" t="s">
        <v>534</v>
      </c>
      <c r="C48" s="399"/>
      <c r="D48" s="386"/>
      <c r="E48" s="400"/>
      <c r="F48" s="387"/>
      <c r="G48" s="387"/>
      <c r="H48" s="388">
        <f>SUM(H49:H54)</f>
        <v>0</v>
      </c>
      <c r="I48" s="401"/>
      <c r="J48" s="388">
        <f>SUM(J49:J54)</f>
        <v>0</v>
      </c>
      <c r="K48" s="388">
        <f>SUM(K49:K54)</f>
        <v>0</v>
      </c>
      <c r="L48" s="389"/>
      <c r="M48" s="398"/>
    </row>
    <row r="49" spans="1:13" ht="15.75" customHeight="1" thickBot="1" x14ac:dyDescent="0.3">
      <c r="A49" s="321" t="s">
        <v>552</v>
      </c>
      <c r="B49" s="322"/>
      <c r="C49" s="390"/>
      <c r="D49" s="391"/>
      <c r="E49" s="392"/>
      <c r="F49" s="393"/>
      <c r="G49" s="393"/>
      <c r="H49" s="394">
        <f t="shared" ref="H49:H54" si="5">G49*F49</f>
        <v>0</v>
      </c>
      <c r="I49" s="395"/>
      <c r="J49" s="394">
        <f t="shared" ref="J49:J54" si="6">H49*I49</f>
        <v>0</v>
      </c>
      <c r="K49" s="396">
        <f t="shared" si="0"/>
        <v>0</v>
      </c>
      <c r="L49" s="397"/>
      <c r="M49" s="398" t="str">
        <f>IF(C49&lt;&gt;"",IF(D49="",Listas!$B$73,IF(E49="",Listas!$B$74,IF(F49=0,Listas!$B$75,IF(G49=0,Listas!$B$76,IF(I49="",Listas!$B$77,""))))),"")</f>
        <v/>
      </c>
    </row>
    <row r="50" spans="1:13" ht="15.75" customHeight="1" thickBot="1" x14ac:dyDescent="0.3">
      <c r="A50" s="327" t="s">
        <v>552</v>
      </c>
      <c r="B50" s="328"/>
      <c r="C50" s="402"/>
      <c r="D50" s="391"/>
      <c r="E50" s="392"/>
      <c r="F50" s="393"/>
      <c r="G50" s="393"/>
      <c r="H50" s="403">
        <f t="shared" si="5"/>
        <v>0</v>
      </c>
      <c r="I50" s="404"/>
      <c r="J50" s="403">
        <f t="shared" si="6"/>
        <v>0</v>
      </c>
      <c r="K50" s="405">
        <f t="shared" si="0"/>
        <v>0</v>
      </c>
      <c r="L50" s="406"/>
      <c r="M50" s="398" t="str">
        <f>IF(C50&lt;&gt;"",IF(D50="",Listas!$B$73,IF(E50="",Listas!$B$74,IF(F50=0,Listas!$B$75,IF(G50=0,Listas!$B$76,IF(I50="",Listas!$B$77,""))))),"")</f>
        <v/>
      </c>
    </row>
    <row r="51" spans="1:13" ht="15.75" customHeight="1" thickBot="1" x14ac:dyDescent="0.3">
      <c r="A51" s="321" t="s">
        <v>552</v>
      </c>
      <c r="B51" s="322"/>
      <c r="C51" s="390"/>
      <c r="D51" s="391"/>
      <c r="E51" s="392"/>
      <c r="F51" s="393"/>
      <c r="G51" s="393"/>
      <c r="H51" s="394">
        <f t="shared" si="5"/>
        <v>0</v>
      </c>
      <c r="I51" s="395"/>
      <c r="J51" s="394">
        <f t="shared" si="6"/>
        <v>0</v>
      </c>
      <c r="K51" s="396">
        <f t="shared" si="0"/>
        <v>0</v>
      </c>
      <c r="L51" s="397"/>
      <c r="M51" s="398" t="str">
        <f>IF(C51&lt;&gt;"",IF(D51="",Listas!$B$73,IF(E51="",Listas!$B$74,IF(F51=0,Listas!$B$75,IF(G51=0,Listas!$B$76,IF(I51="",Listas!$B$77,""))))),"")</f>
        <v/>
      </c>
    </row>
    <row r="52" spans="1:13" ht="15.75" customHeight="1" thickBot="1" x14ac:dyDescent="0.3">
      <c r="A52" s="327" t="s">
        <v>552</v>
      </c>
      <c r="B52" s="328"/>
      <c r="C52" s="402"/>
      <c r="D52" s="391"/>
      <c r="E52" s="392"/>
      <c r="F52" s="393"/>
      <c r="G52" s="393"/>
      <c r="H52" s="403">
        <f t="shared" si="5"/>
        <v>0</v>
      </c>
      <c r="I52" s="404"/>
      <c r="J52" s="403">
        <f t="shared" si="6"/>
        <v>0</v>
      </c>
      <c r="K52" s="405">
        <f t="shared" si="0"/>
        <v>0</v>
      </c>
      <c r="L52" s="406"/>
      <c r="M52" s="398" t="str">
        <f>IF(C52&lt;&gt;"",IF(D52="",Listas!$B$73,IF(E52="",Listas!$B$74,IF(F52=0,Listas!$B$75,IF(G52=0,Listas!$B$76,IF(I52="",Listas!$B$77,""))))),"")</f>
        <v/>
      </c>
    </row>
    <row r="53" spans="1:13" ht="15.75" customHeight="1" thickBot="1" x14ac:dyDescent="0.3">
      <c r="A53" s="321" t="s">
        <v>552</v>
      </c>
      <c r="B53" s="322"/>
      <c r="C53" s="390"/>
      <c r="D53" s="391"/>
      <c r="E53" s="392"/>
      <c r="F53" s="393"/>
      <c r="G53" s="393"/>
      <c r="H53" s="394">
        <f t="shared" si="5"/>
        <v>0</v>
      </c>
      <c r="I53" s="395"/>
      <c r="J53" s="394">
        <f t="shared" si="6"/>
        <v>0</v>
      </c>
      <c r="K53" s="396">
        <f t="shared" si="0"/>
        <v>0</v>
      </c>
      <c r="L53" s="397"/>
      <c r="M53" s="398" t="str">
        <f>IF(C53&lt;&gt;"",IF(D53="",Listas!$B$73,IF(E53="",Listas!$B$74,IF(F53=0,Listas!$B$75,IF(G53=0,Listas!$B$76,IF(I53="",Listas!$B$77,""))))),"")</f>
        <v/>
      </c>
    </row>
    <row r="54" spans="1:13" ht="15.75" customHeight="1" thickBot="1" x14ac:dyDescent="0.3">
      <c r="A54" s="327" t="s">
        <v>552</v>
      </c>
      <c r="B54" s="359"/>
      <c r="C54" s="407"/>
      <c r="D54" s="408"/>
      <c r="E54" s="409"/>
      <c r="F54" s="410"/>
      <c r="G54" s="410"/>
      <c r="H54" s="411">
        <f t="shared" si="5"/>
        <v>0</v>
      </c>
      <c r="I54" s="412"/>
      <c r="J54" s="411">
        <f t="shared" si="6"/>
        <v>0</v>
      </c>
      <c r="K54" s="413">
        <f t="shared" si="0"/>
        <v>0</v>
      </c>
      <c r="L54" s="414"/>
      <c r="M54" s="398" t="str">
        <f>IF(C54&lt;&gt;"",IF(D54="",Listas!$B$73,IF(E54="",Listas!$B$74,IF(F54=0,Listas!$B$75,IF(G54=0,Listas!$B$76,IF(I54="",Listas!$B$77,""))))),"")</f>
        <v/>
      </c>
    </row>
  </sheetData>
  <sheetProtection algorithmName="SHA-512" hashValue="KwjXTCOi5Ftc84Fniv7vFF4X+49njNoow2DFdD5w2WFZHrigO6NjtZZsZtkps5CD8+9GQnA3NUUpyLPejsWDdA==" saltValue="GDLlkQOgGQBlv8ZQI4A3TQ==" spinCount="100000" sheet="1" autoFilter="0"/>
  <autoFilter ref="A7:C7" xr:uid="{00000000-0009-0000-0000-000002000000}"/>
  <mergeCells count="5">
    <mergeCell ref="B1:H1"/>
    <mergeCell ref="J1:L1"/>
    <mergeCell ref="C2:L2"/>
    <mergeCell ref="C3:L3"/>
    <mergeCell ref="C4:D4"/>
  </mergeCells>
  <dataValidations count="7">
    <dataValidation type="decimal" allowBlank="1" showInputMessage="1" showErrorMessage="1" prompt="Introduzca el % de IVA aplicable al elemento descrito._x000a_" sqref="I11:I40 I42:I54" xr:uid="{00000000-0002-0000-0200-000000000000}">
      <formula1>0</formula1>
      <formula2>1</formula2>
    </dataValidation>
    <dataValidation allowBlank="1" showInputMessage="1" showErrorMessage="1" prompt="Introduzca la descripción del elemento que considere subvencionable " sqref="C11:C40 C43:C48" xr:uid="{00000000-0002-0000-0200-000001000000}"/>
    <dataValidation allowBlank="1" showInputMessage="1" showErrorMessage="1" prompt="Introduzca la descripción del elemento que considere gasto propio subvencionable " sqref="C42" xr:uid="{00000000-0002-0000-0200-000002000000}"/>
    <dataValidation allowBlank="1" showInputMessage="1" showErrorMessage="1" prompt="Introduzca la descripción del elemento que no considere como subvencionable " sqref="C49:C54" xr:uid="{00000000-0002-0000-0200-000003000000}"/>
    <dataValidation type="list" allowBlank="1" showInputMessage="1" showErrorMessage="1" prompt="Seleccione un valor de la lista" sqref="E42:E54" xr:uid="{00000000-0002-0000-0200-000004000000}">
      <formula1>$A$73:$A$79</formula1>
    </dataValidation>
    <dataValidation allowBlank="1" promptTitle="Elegir valor de la lista" prompt="Si ó No" sqref="D6" xr:uid="{00000000-0002-0000-0200-000005000000}"/>
    <dataValidation type="decimal" allowBlank="1" showInputMessage="1" showErrorMessage="1" errorTitle="Valor incorrecto" error="Debe introducir una valor positivo." prompt="Introduzca un valor entre 0 y 999,999" sqref="G11:G40 G42:G47 G49:G54" xr:uid="{00000000-0002-0000-0200-000006000000}">
      <formula1>0</formula1>
      <formula2>999999</formula2>
    </dataValidation>
  </dataValidations>
  <pageMargins left="0.35433070866141736" right="0.15748031496062992" top="1.1417322834645669" bottom="0.78740157480314965" header="0.31496062992125984" footer="0.31496062992125984"/>
  <pageSetup paperSize="9" scale="60" fitToHeight="0" orientation="portrait" r:id="rId1"/>
  <headerFooter scaleWithDoc="0">
    <oddHeader>&amp;L&amp;G</oddHeader>
    <oddFooter>&amp;L&amp;"Eras Demi ITC,Normal"&amp;8&amp;G&amp;R&amp;8&amp;P/&amp;N</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200-000007000000}">
          <x14:formula1>
            <xm:f>Listas!$A$73:$A$79</xm:f>
          </x14:formula1>
          <xm:sqref>E11:E40</xm:sqref>
        </x14:dataValidation>
        <x14:dataValidation type="list" allowBlank="1" showInputMessage="1" showErrorMessage="1" prompt="Seleccione un valor de la lista" xr:uid="{00000000-0002-0000-0200-000008000000}">
          <x14:formula1>
            <xm:f>Inversion!$C$10:$C$30</xm:f>
          </x14:formula1>
          <xm:sqref>D11:D40 D42:D54</xm:sqref>
        </x14:dataValidation>
        <x14:dataValidation type="decimal" allowBlank="1" showInputMessage="1" showErrorMessage="1" errorTitle="Valor Unidades Incorrecto" error="El valor debe ser positivo entre 0 y 1.000.000_x000a_" prompt="Introduzca un cantidad entre 0 y 1.000.000" xr:uid="{00000000-0002-0000-0200-000009000000}">
          <x14:formula1>
            <xm:f>0</xm:f>
          </x14:formula1>
          <x14:formula2>
            <xm:f>Listas!A65</xm:f>
          </x14:formula2>
          <xm:sqref>F11:F40 F42:F54</xm:sqref>
        </x14:dataValidation>
        <x14:dataValidation type="whole" allowBlank="1" showInputMessage="1" showErrorMessage="1" errorTitle="Error en Coste Unitario" error="Valor entre 0 y 1.000.000" prompt="Introduzca un cantidad entre 0 y 1.000.000_x000a_" xr:uid="{00000000-0002-0000-0200-00000B000000}">
          <x14:formula1>
            <xm:f>0</xm:f>
          </x14:formula1>
          <x14:formula2>
            <xm:f>Listas!A102</xm:f>
          </x14:formula2>
          <xm:sqref>G48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CC00"/>
    <pageSetUpPr fitToPage="1"/>
  </sheetPr>
  <dimension ref="A1:K30"/>
  <sheetViews>
    <sheetView topLeftCell="B1" zoomScaleNormal="100" zoomScaleSheetLayoutView="110" workbookViewId="0">
      <selection activeCell="B1" sqref="B1:G1"/>
    </sheetView>
  </sheetViews>
  <sheetFormatPr baseColWidth="10" defaultColWidth="11.42578125" defaultRowHeight="15" x14ac:dyDescent="0.25"/>
  <cols>
    <col min="1" max="1" width="6.85546875" style="17" hidden="1" customWidth="1"/>
    <col min="2" max="2" width="7.5703125" style="17" customWidth="1"/>
    <col min="3" max="3" width="24.5703125" style="17" customWidth="1"/>
    <col min="4" max="4" width="31.42578125" style="17" customWidth="1"/>
    <col min="5" max="5" width="15" style="17" customWidth="1"/>
    <col min="6" max="6" width="8.140625" style="17" customWidth="1"/>
    <col min="7" max="7" width="15" style="17" customWidth="1"/>
    <col min="8" max="8" width="8.5703125" style="17" customWidth="1"/>
    <col min="9" max="10" width="15" style="17" customWidth="1"/>
    <col min="11" max="11" width="14" style="17" customWidth="1"/>
    <col min="12" max="16384" width="11.42578125" style="17"/>
  </cols>
  <sheetData>
    <row r="1" spans="1:11" ht="24.75" customHeight="1" thickTop="1" thickBot="1" x14ac:dyDescent="0.4">
      <c r="A1" s="18"/>
      <c r="B1" s="636" t="str">
        <f>"PLAN INVERSION ANUALIZADO "&amp;LEFT(Baremo!C8,8)</f>
        <v xml:space="preserve">PLAN INVERSION ANUALIZADO Linea 3 </v>
      </c>
      <c r="C1" s="636"/>
      <c r="D1" s="636"/>
      <c r="E1" s="636"/>
      <c r="F1" s="636"/>
      <c r="G1" s="636"/>
      <c r="H1" s="415"/>
      <c r="I1" s="722" t="str">
        <f>Baremo!J1</f>
        <v xml:space="preserve">  GDR: JA07  Convocatoria: 2020</v>
      </c>
      <c r="J1" s="710"/>
      <c r="K1" s="711"/>
    </row>
    <row r="2" spans="1:11" ht="16.5" thickTop="1" thickBot="1" x14ac:dyDescent="0.3">
      <c r="A2" s="18"/>
      <c r="B2" s="416" t="str">
        <f>Baremo!B2</f>
        <v>Proyecto:</v>
      </c>
      <c r="C2" s="716" t="str">
        <f>IF(Baremo!C2:I2=0,"",Baremo!C2:I2)</f>
        <v/>
      </c>
      <c r="D2" s="717"/>
      <c r="E2" s="717"/>
      <c r="F2" s="717"/>
      <c r="G2" s="717"/>
      <c r="H2" s="717"/>
      <c r="I2" s="717"/>
      <c r="J2" s="717"/>
      <c r="K2" s="718"/>
    </row>
    <row r="3" spans="1:11" ht="15.75" customHeight="1" thickTop="1" thickBot="1" x14ac:dyDescent="0.3">
      <c r="A3" s="18"/>
      <c r="B3" s="168" t="str">
        <f>Baremo!B3</f>
        <v>Solicitante:</v>
      </c>
      <c r="C3" s="719" t="str">
        <f>IF(Baremo!C3:I3=0,"",Baremo!C3:I3)</f>
        <v/>
      </c>
      <c r="D3" s="720"/>
      <c r="E3" s="720"/>
      <c r="F3" s="720"/>
      <c r="G3" s="720"/>
      <c r="H3" s="720"/>
      <c r="I3" s="720"/>
      <c r="J3" s="720"/>
      <c r="K3" s="721"/>
    </row>
    <row r="4" spans="1:11" ht="16.5" thickTop="1" thickBot="1" x14ac:dyDescent="0.3">
      <c r="A4" s="18"/>
      <c r="B4" s="168" t="str">
        <f>Baremo!B4</f>
        <v>Municipio:</v>
      </c>
      <c r="C4" s="646" t="str">
        <f>IF(Baremo!C4:I4=0,"",Baremo!C4:I4)</f>
        <v/>
      </c>
      <c r="D4" s="646"/>
      <c r="E4" s="171"/>
      <c r="F4" s="172"/>
      <c r="G4" s="365"/>
      <c r="H4" s="172"/>
      <c r="I4" s="365"/>
      <c r="J4" s="365"/>
      <c r="K4" s="172"/>
    </row>
    <row r="5" spans="1:11" ht="16.5" thickTop="1" thickBot="1" x14ac:dyDescent="0.3">
      <c r="A5" s="18"/>
      <c r="B5" s="168" t="str">
        <f>Baremo!B5</f>
        <v>Fecha</v>
      </c>
      <c r="C5" s="173">
        <f>IF(Baremo!C5:I5=0,"",Baremo!C5:I5)</f>
        <v>44136</v>
      </c>
      <c r="D5" s="368" t="s">
        <v>520</v>
      </c>
      <c r="E5" s="369" t="str">
        <f>Presupuesto!D6</f>
        <v>No</v>
      </c>
      <c r="F5" s="417"/>
      <c r="G5" s="175"/>
      <c r="H5" s="417"/>
      <c r="I5" s="175"/>
      <c r="J5" s="175"/>
      <c r="K5" s="417"/>
    </row>
    <row r="6" spans="1:11" ht="9" customHeight="1" thickTop="1" thickBot="1" x14ac:dyDescent="0.3">
      <c r="A6" s="302" t="s">
        <v>339</v>
      </c>
      <c r="B6" s="372"/>
      <c r="C6" s="418"/>
      <c r="D6" s="418"/>
      <c r="E6" s="418"/>
      <c r="F6" s="418"/>
      <c r="G6" s="418"/>
      <c r="H6" s="418"/>
      <c r="I6" s="418"/>
      <c r="J6" s="418"/>
      <c r="K6" s="418"/>
    </row>
    <row r="7" spans="1:11" ht="24" thickBot="1" x14ac:dyDescent="0.3">
      <c r="A7" s="306" t="s">
        <v>507</v>
      </c>
      <c r="B7" s="419" t="s">
        <v>440</v>
      </c>
      <c r="C7" s="420"/>
      <c r="D7" s="420"/>
      <c r="E7" s="713">
        <f>YEAR(Baremo!C5)</f>
        <v>2020</v>
      </c>
      <c r="F7" s="713"/>
      <c r="G7" s="713">
        <f>E7+1</f>
        <v>2021</v>
      </c>
      <c r="H7" s="713"/>
      <c r="I7" s="421" t="s">
        <v>161</v>
      </c>
      <c r="J7" s="421"/>
      <c r="K7" s="422" t="s">
        <v>544</v>
      </c>
    </row>
    <row r="8" spans="1:11" ht="15.75" thickBot="1" x14ac:dyDescent="0.3">
      <c r="A8" s="316" t="s">
        <v>458</v>
      </c>
      <c r="B8" s="714" t="s">
        <v>462</v>
      </c>
      <c r="C8" s="715"/>
      <c r="D8" s="715"/>
      <c r="E8" s="318">
        <f>E9+E21</f>
        <v>0</v>
      </c>
      <c r="F8" s="319">
        <f>IFERROR(E8/$I$8,0)</f>
        <v>0</v>
      </c>
      <c r="G8" s="318">
        <f>G9+G21</f>
        <v>0</v>
      </c>
      <c r="H8" s="319">
        <f>IFERROR(G8/$I$8,0)</f>
        <v>0</v>
      </c>
      <c r="I8" s="423">
        <f>I9+I21</f>
        <v>0</v>
      </c>
      <c r="J8" s="334">
        <f>IFERROR((E8+G8)/I8,0)</f>
        <v>0</v>
      </c>
      <c r="K8" s="424">
        <f>K9+K21</f>
        <v>0</v>
      </c>
    </row>
    <row r="9" spans="1:11" ht="15.75" customHeight="1" thickBot="1" x14ac:dyDescent="0.3">
      <c r="A9" s="316" t="s">
        <v>458</v>
      </c>
      <c r="B9" s="74" t="s">
        <v>441</v>
      </c>
      <c r="C9" s="139"/>
      <c r="D9" s="139"/>
      <c r="E9" s="318">
        <f>SUM(E10:E20)</f>
        <v>0</v>
      </c>
      <c r="F9" s="319">
        <f>IFERROR(E9/E$8,0)</f>
        <v>0</v>
      </c>
      <c r="G9" s="318">
        <f>SUM(G10:G20)</f>
        <v>0</v>
      </c>
      <c r="H9" s="319">
        <f t="shared" ref="H9:H30" si="0">IFERROR(G9/G$8,0)</f>
        <v>0</v>
      </c>
      <c r="I9" s="318">
        <f>SUM(I10:I20)</f>
        <v>0</v>
      </c>
      <c r="J9" s="425">
        <f t="shared" ref="J9:J30" si="1">IFERROR(I9/I$8,0)</f>
        <v>0</v>
      </c>
      <c r="K9" s="426">
        <f>SUM(K10:K20)</f>
        <v>0</v>
      </c>
    </row>
    <row r="10" spans="1:11" ht="15.75" thickBot="1" x14ac:dyDescent="0.3">
      <c r="A10" s="321" t="s">
        <v>458</v>
      </c>
      <c r="B10" s="322"/>
      <c r="C10" s="698" t="s">
        <v>442</v>
      </c>
      <c r="D10" s="699"/>
      <c r="E10" s="323">
        <v>0</v>
      </c>
      <c r="F10" s="324">
        <f>IFERROR(E10/E$8,0)</f>
        <v>0</v>
      </c>
      <c r="G10" s="323">
        <v>0</v>
      </c>
      <c r="H10" s="324">
        <f t="shared" si="0"/>
        <v>0</v>
      </c>
      <c r="I10" s="427">
        <f>E10+G10</f>
        <v>0</v>
      </c>
      <c r="J10" s="428">
        <f t="shared" si="1"/>
        <v>0</v>
      </c>
      <c r="K10" s="429">
        <f>IF(Presupuesto!$D$6=Listas!$A$3,SUMIF(Presupuesto!D$11:D$54,Inversion!C10,Presupuesto!K$11:K$54),SUMIF(Presupuesto!D$11:D$54,Inversion!C10,Presupuesto!H$11:H$54))</f>
        <v>0</v>
      </c>
    </row>
    <row r="11" spans="1:11" ht="15.75" customHeight="1" thickBot="1" x14ac:dyDescent="0.3">
      <c r="A11" s="327" t="s">
        <v>458</v>
      </c>
      <c r="B11" s="328"/>
      <c r="C11" s="688" t="s">
        <v>443</v>
      </c>
      <c r="D11" s="689"/>
      <c r="E11" s="323">
        <v>0</v>
      </c>
      <c r="F11" s="329">
        <f t="shared" ref="F11:F20" si="2">IFERROR(E11/E$8,0)</f>
        <v>0</v>
      </c>
      <c r="G11" s="323">
        <v>0</v>
      </c>
      <c r="H11" s="329">
        <f t="shared" si="0"/>
        <v>0</v>
      </c>
      <c r="I11" s="430">
        <f t="shared" ref="I11:I20" si="3">E11+G11</f>
        <v>0</v>
      </c>
      <c r="J11" s="431">
        <f t="shared" si="1"/>
        <v>0</v>
      </c>
      <c r="K11" s="432">
        <f>IF(Presupuesto!$D$6=Listas!$A$3,SUMIF(Presupuesto!D$11:D$54,Inversion!C11,Presupuesto!K$11:K$54),SUMIF(Presupuesto!D$11:D$54,Inversion!C11,Presupuesto!H$11:H$54))</f>
        <v>0</v>
      </c>
    </row>
    <row r="12" spans="1:11" ht="15.75" thickBot="1" x14ac:dyDescent="0.3">
      <c r="A12" s="321" t="s">
        <v>458</v>
      </c>
      <c r="B12" s="322"/>
      <c r="C12" s="698" t="s">
        <v>444</v>
      </c>
      <c r="D12" s="699"/>
      <c r="E12" s="323">
        <v>0</v>
      </c>
      <c r="F12" s="324">
        <f t="shared" si="2"/>
        <v>0</v>
      </c>
      <c r="G12" s="323">
        <v>0</v>
      </c>
      <c r="H12" s="324">
        <f t="shared" si="0"/>
        <v>0</v>
      </c>
      <c r="I12" s="427">
        <f t="shared" si="3"/>
        <v>0</v>
      </c>
      <c r="J12" s="428">
        <f t="shared" si="1"/>
        <v>0</v>
      </c>
      <c r="K12" s="429">
        <f>IF(Presupuesto!$D$6=Listas!$A$3,SUMIF(Presupuesto!D$11:D$54,Inversion!C12,Presupuesto!K$11:K$54),SUMIF(Presupuesto!D$11:D$54,Inversion!C12,Presupuesto!H$11:H$54))</f>
        <v>0</v>
      </c>
    </row>
    <row r="13" spans="1:11" ht="15.75" thickBot="1" x14ac:dyDescent="0.3">
      <c r="A13" s="327" t="s">
        <v>458</v>
      </c>
      <c r="B13" s="328"/>
      <c r="C13" s="688" t="s">
        <v>445</v>
      </c>
      <c r="D13" s="689"/>
      <c r="E13" s="323">
        <v>0</v>
      </c>
      <c r="F13" s="329">
        <f t="shared" si="2"/>
        <v>0</v>
      </c>
      <c r="G13" s="323">
        <v>0</v>
      </c>
      <c r="H13" s="329">
        <f t="shared" si="0"/>
        <v>0</v>
      </c>
      <c r="I13" s="430">
        <f t="shared" si="3"/>
        <v>0</v>
      </c>
      <c r="J13" s="431">
        <f t="shared" si="1"/>
        <v>0</v>
      </c>
      <c r="K13" s="432">
        <f>IF(Presupuesto!$D$6=Listas!$A$3,SUMIF(Presupuesto!D$11:D$54,Inversion!C13,Presupuesto!K$11:K$54),SUMIF(Presupuesto!D$11:D$54,Inversion!C13,Presupuesto!H$11:H$54))</f>
        <v>0</v>
      </c>
    </row>
    <row r="14" spans="1:11" ht="15.75" thickBot="1" x14ac:dyDescent="0.3">
      <c r="A14" s="321" t="s">
        <v>458</v>
      </c>
      <c r="B14" s="322"/>
      <c r="C14" s="698" t="s">
        <v>446</v>
      </c>
      <c r="D14" s="699"/>
      <c r="E14" s="323">
        <v>0</v>
      </c>
      <c r="F14" s="324">
        <f t="shared" si="2"/>
        <v>0</v>
      </c>
      <c r="G14" s="323">
        <v>0</v>
      </c>
      <c r="H14" s="324">
        <f t="shared" si="0"/>
        <v>0</v>
      </c>
      <c r="I14" s="427">
        <f t="shared" si="3"/>
        <v>0</v>
      </c>
      <c r="J14" s="428">
        <f t="shared" si="1"/>
        <v>0</v>
      </c>
      <c r="K14" s="429">
        <f>IF(Presupuesto!$D$6=Listas!$A$3,SUMIF(Presupuesto!D$11:D$54,Inversion!C14,Presupuesto!K$11:K$54),SUMIF(Presupuesto!D$11:D$54,Inversion!C14,Presupuesto!H$11:H$54))</f>
        <v>0</v>
      </c>
    </row>
    <row r="15" spans="1:11" ht="15.75" thickBot="1" x14ac:dyDescent="0.3">
      <c r="A15" s="327" t="s">
        <v>458</v>
      </c>
      <c r="B15" s="328"/>
      <c r="C15" s="93" t="s">
        <v>447</v>
      </c>
      <c r="D15" s="331"/>
      <c r="E15" s="323">
        <v>0</v>
      </c>
      <c r="F15" s="329">
        <f t="shared" si="2"/>
        <v>0</v>
      </c>
      <c r="G15" s="323">
        <v>0</v>
      </c>
      <c r="H15" s="329">
        <f t="shared" si="0"/>
        <v>0</v>
      </c>
      <c r="I15" s="430">
        <f t="shared" si="3"/>
        <v>0</v>
      </c>
      <c r="J15" s="431">
        <f t="shared" si="1"/>
        <v>0</v>
      </c>
      <c r="K15" s="432">
        <f>IF(Presupuesto!$D$6=Listas!$A$3,SUMIF(Presupuesto!D$11:D$54,Inversion!C15,Presupuesto!K$11:K$54),SUMIF(Presupuesto!D$11:D$54,Inversion!C15,Presupuesto!H$11:H$54))</f>
        <v>0</v>
      </c>
    </row>
    <row r="16" spans="1:11" ht="15.75" thickBot="1" x14ac:dyDescent="0.3">
      <c r="A16" s="321" t="s">
        <v>458</v>
      </c>
      <c r="B16" s="322"/>
      <c r="C16" s="698" t="s">
        <v>448</v>
      </c>
      <c r="D16" s="699"/>
      <c r="E16" s="323">
        <v>0</v>
      </c>
      <c r="F16" s="324">
        <f t="shared" si="2"/>
        <v>0</v>
      </c>
      <c r="G16" s="323">
        <v>0</v>
      </c>
      <c r="H16" s="324">
        <f t="shared" si="0"/>
        <v>0</v>
      </c>
      <c r="I16" s="427">
        <f t="shared" si="3"/>
        <v>0</v>
      </c>
      <c r="J16" s="428">
        <f t="shared" si="1"/>
        <v>0</v>
      </c>
      <c r="K16" s="429">
        <f>IF(Presupuesto!$D$6=Listas!$A$3,SUMIF(Presupuesto!D$11:D$54,Inversion!C16,Presupuesto!K$11:K$54),SUMIF(Presupuesto!D$11:D$54,Inversion!C16,Presupuesto!H$11:H$54))</f>
        <v>0</v>
      </c>
    </row>
    <row r="17" spans="1:11" ht="15.75" thickBot="1" x14ac:dyDescent="0.3">
      <c r="A17" s="327" t="s">
        <v>458</v>
      </c>
      <c r="B17" s="328"/>
      <c r="C17" s="93" t="s">
        <v>449</v>
      </c>
      <c r="D17" s="331"/>
      <c r="E17" s="323">
        <v>0</v>
      </c>
      <c r="F17" s="329">
        <f t="shared" si="2"/>
        <v>0</v>
      </c>
      <c r="G17" s="323">
        <v>0</v>
      </c>
      <c r="H17" s="329">
        <f t="shared" si="0"/>
        <v>0</v>
      </c>
      <c r="I17" s="430">
        <f t="shared" si="3"/>
        <v>0</v>
      </c>
      <c r="J17" s="431">
        <f t="shared" si="1"/>
        <v>0</v>
      </c>
      <c r="K17" s="432">
        <f>IF(Presupuesto!$D$6=Listas!$A$3,SUMIF(Presupuesto!D$11:D$54,Inversion!C17,Presupuesto!K$11:K$54),SUMIF(Presupuesto!D$11:D$54,Inversion!C17,Presupuesto!H$11:H$54))</f>
        <v>0</v>
      </c>
    </row>
    <row r="18" spans="1:11" ht="15.75" thickBot="1" x14ac:dyDescent="0.3">
      <c r="A18" s="321" t="s">
        <v>458</v>
      </c>
      <c r="B18" s="322"/>
      <c r="C18" s="723" t="s">
        <v>545</v>
      </c>
      <c r="D18" s="724"/>
      <c r="E18" s="323">
        <v>0</v>
      </c>
      <c r="F18" s="324">
        <f t="shared" si="2"/>
        <v>0</v>
      </c>
      <c r="G18" s="323">
        <v>0</v>
      </c>
      <c r="H18" s="324">
        <f t="shared" si="0"/>
        <v>0</v>
      </c>
      <c r="I18" s="427">
        <f t="shared" si="3"/>
        <v>0</v>
      </c>
      <c r="J18" s="428">
        <f t="shared" si="1"/>
        <v>0</v>
      </c>
      <c r="K18" s="429">
        <f>IF(Presupuesto!$D$6=Listas!$A$3,SUMIF(Presupuesto!D$11:D$54,Inversion!C18,Presupuesto!K$11:K$54),SUMIF(Presupuesto!D$11:D$54,Inversion!C18,Presupuesto!H$11:H$54))</f>
        <v>0</v>
      </c>
    </row>
    <row r="19" spans="1:11" ht="15.75" thickBot="1" x14ac:dyDescent="0.3">
      <c r="A19" s="327" t="s">
        <v>458</v>
      </c>
      <c r="B19" s="328"/>
      <c r="C19" s="433" t="s">
        <v>546</v>
      </c>
      <c r="D19" s="434"/>
      <c r="E19" s="323">
        <v>0</v>
      </c>
      <c r="F19" s="329">
        <f t="shared" si="2"/>
        <v>0</v>
      </c>
      <c r="G19" s="323">
        <v>0</v>
      </c>
      <c r="H19" s="329">
        <f t="shared" si="0"/>
        <v>0</v>
      </c>
      <c r="I19" s="430">
        <f t="shared" si="3"/>
        <v>0</v>
      </c>
      <c r="J19" s="431">
        <f t="shared" si="1"/>
        <v>0</v>
      </c>
      <c r="K19" s="432">
        <f>IF(Presupuesto!$D$6=Listas!$A$3,SUMIF(Presupuesto!D$11:D$54,Inversion!C19,Presupuesto!K$11:K$54),SUMIF(Presupuesto!D$11:D$54,Inversion!C19,Presupuesto!H$11:H$54))</f>
        <v>0</v>
      </c>
    </row>
    <row r="20" spans="1:11" ht="15.75" thickBot="1" x14ac:dyDescent="0.3">
      <c r="A20" s="321" t="s">
        <v>458</v>
      </c>
      <c r="B20" s="322"/>
      <c r="C20" s="723" t="s">
        <v>547</v>
      </c>
      <c r="D20" s="724"/>
      <c r="E20" s="323">
        <v>0</v>
      </c>
      <c r="F20" s="324">
        <f t="shared" si="2"/>
        <v>0</v>
      </c>
      <c r="G20" s="323">
        <v>0</v>
      </c>
      <c r="H20" s="324">
        <f t="shared" si="0"/>
        <v>0</v>
      </c>
      <c r="I20" s="427">
        <f t="shared" si="3"/>
        <v>0</v>
      </c>
      <c r="J20" s="428">
        <f t="shared" si="1"/>
        <v>0</v>
      </c>
      <c r="K20" s="429">
        <f>IF(Presupuesto!$D$6=Listas!$A$3,SUMIF(Presupuesto!D$11:D$54,Inversion!C20,Presupuesto!K$11:K$54),SUMIF(Presupuesto!D$11:D$54,Inversion!C20,Presupuesto!H$11:H$54))</f>
        <v>0</v>
      </c>
    </row>
    <row r="21" spans="1:11" ht="15.75" customHeight="1" thickBot="1" x14ac:dyDescent="0.3">
      <c r="A21" s="316" t="s">
        <v>459</v>
      </c>
      <c r="B21" s="74" t="s">
        <v>461</v>
      </c>
      <c r="C21" s="139"/>
      <c r="D21" s="139"/>
      <c r="E21" s="318">
        <f>SUM(E22:E30)</f>
        <v>0</v>
      </c>
      <c r="F21" s="319">
        <f t="shared" ref="F21:F30" si="4">IFERROR(E21/E$8,0)</f>
        <v>0</v>
      </c>
      <c r="G21" s="318">
        <f>SUM(G22:G30)</f>
        <v>0</v>
      </c>
      <c r="H21" s="319">
        <f t="shared" si="0"/>
        <v>0</v>
      </c>
      <c r="I21" s="318">
        <f>SUM(I22:I30)</f>
        <v>0</v>
      </c>
      <c r="J21" s="425">
        <f t="shared" si="1"/>
        <v>0</v>
      </c>
      <c r="K21" s="426">
        <f>SUM(K22:K30)</f>
        <v>0</v>
      </c>
    </row>
    <row r="22" spans="1:11" ht="15.75" thickBot="1" x14ac:dyDescent="0.3">
      <c r="A22" s="321" t="s">
        <v>459</v>
      </c>
      <c r="B22" s="322"/>
      <c r="C22" s="698" t="s">
        <v>450</v>
      </c>
      <c r="D22" s="699"/>
      <c r="E22" s="323">
        <v>0</v>
      </c>
      <c r="F22" s="324">
        <f t="shared" si="4"/>
        <v>0</v>
      </c>
      <c r="G22" s="323">
        <v>0</v>
      </c>
      <c r="H22" s="324">
        <f t="shared" si="0"/>
        <v>0</v>
      </c>
      <c r="I22" s="427">
        <f t="shared" ref="I22:I30" si="5">E22+G22</f>
        <v>0</v>
      </c>
      <c r="J22" s="435">
        <f t="shared" si="1"/>
        <v>0</v>
      </c>
      <c r="K22" s="429">
        <f>IF(Presupuesto!$D$6=Listas!$A$3,SUMIF(Presupuesto!D$11:D$54,Inversion!C22,Presupuesto!K$11:K$54),SUMIF(Presupuesto!D$11:D$54,Inversion!C22,Presupuesto!H$11:H$54))</f>
        <v>0</v>
      </c>
    </row>
    <row r="23" spans="1:11" ht="15.75" thickBot="1" x14ac:dyDescent="0.3">
      <c r="A23" s="327" t="s">
        <v>459</v>
      </c>
      <c r="B23" s="328"/>
      <c r="C23" s="688" t="s">
        <v>451</v>
      </c>
      <c r="D23" s="689"/>
      <c r="E23" s="323">
        <v>0</v>
      </c>
      <c r="F23" s="329">
        <f t="shared" si="4"/>
        <v>0</v>
      </c>
      <c r="G23" s="323">
        <v>0</v>
      </c>
      <c r="H23" s="329">
        <f t="shared" si="0"/>
        <v>0</v>
      </c>
      <c r="I23" s="430">
        <f t="shared" si="5"/>
        <v>0</v>
      </c>
      <c r="J23" s="436">
        <f t="shared" si="1"/>
        <v>0</v>
      </c>
      <c r="K23" s="432">
        <f>IF(Presupuesto!$D$6=Listas!$A$3,SUMIF(Presupuesto!D$11:D$54,Inversion!C23,Presupuesto!K$11:K$54),SUMIF(Presupuesto!D$11:D$54,Inversion!C23,Presupuesto!H$11:H$54))</f>
        <v>0</v>
      </c>
    </row>
    <row r="24" spans="1:11" ht="15.75" thickBot="1" x14ac:dyDescent="0.3">
      <c r="A24" s="321" t="s">
        <v>459</v>
      </c>
      <c r="B24" s="322"/>
      <c r="C24" s="698" t="s">
        <v>452</v>
      </c>
      <c r="D24" s="699"/>
      <c r="E24" s="323">
        <v>0</v>
      </c>
      <c r="F24" s="324">
        <f t="shared" si="4"/>
        <v>0</v>
      </c>
      <c r="G24" s="323">
        <v>0</v>
      </c>
      <c r="H24" s="324">
        <f t="shared" si="0"/>
        <v>0</v>
      </c>
      <c r="I24" s="427">
        <f t="shared" si="5"/>
        <v>0</v>
      </c>
      <c r="J24" s="435">
        <f t="shared" si="1"/>
        <v>0</v>
      </c>
      <c r="K24" s="429">
        <f>IF(Presupuesto!$D$6=Listas!$A$3,SUMIF(Presupuesto!D$11:D$54,Inversion!C24,Presupuesto!K$11:K$54),SUMIF(Presupuesto!D$11:D$54,Inversion!C24,Presupuesto!H$11:H$54))</f>
        <v>0</v>
      </c>
    </row>
    <row r="25" spans="1:11" ht="15.75" thickBot="1" x14ac:dyDescent="0.3">
      <c r="A25" s="327" t="s">
        <v>459</v>
      </c>
      <c r="B25" s="328"/>
      <c r="C25" s="688" t="s">
        <v>453</v>
      </c>
      <c r="D25" s="689"/>
      <c r="E25" s="323">
        <v>0</v>
      </c>
      <c r="F25" s="329">
        <f t="shared" si="4"/>
        <v>0</v>
      </c>
      <c r="G25" s="323">
        <v>0</v>
      </c>
      <c r="H25" s="329">
        <f t="shared" si="0"/>
        <v>0</v>
      </c>
      <c r="I25" s="430">
        <f t="shared" si="5"/>
        <v>0</v>
      </c>
      <c r="J25" s="436">
        <f t="shared" si="1"/>
        <v>0</v>
      </c>
      <c r="K25" s="432">
        <f>IF(Presupuesto!$D$6=Listas!$A$3,SUMIF(Presupuesto!D$11:D$54,Inversion!C25,Presupuesto!K$11:K$54),SUMIF(Presupuesto!D$11:D$54,Inversion!C25,Presupuesto!H$11:H$54))</f>
        <v>0</v>
      </c>
    </row>
    <row r="26" spans="1:11" ht="15.75" thickBot="1" x14ac:dyDescent="0.3">
      <c r="A26" s="321" t="s">
        <v>459</v>
      </c>
      <c r="B26" s="322"/>
      <c r="C26" s="698" t="s">
        <v>454</v>
      </c>
      <c r="D26" s="699"/>
      <c r="E26" s="323">
        <v>0</v>
      </c>
      <c r="F26" s="324">
        <f t="shared" si="4"/>
        <v>0</v>
      </c>
      <c r="G26" s="323">
        <v>0</v>
      </c>
      <c r="H26" s="324">
        <f t="shared" si="0"/>
        <v>0</v>
      </c>
      <c r="I26" s="427">
        <f t="shared" si="5"/>
        <v>0</v>
      </c>
      <c r="J26" s="435">
        <f t="shared" si="1"/>
        <v>0</v>
      </c>
      <c r="K26" s="429">
        <f>IF(Presupuesto!$D$6=Listas!$A$3,SUMIF(Presupuesto!D$11:D$54,Inversion!C26,Presupuesto!K$11:K$54),SUMIF(Presupuesto!D$11:D$54,Inversion!C26,Presupuesto!H$11:H$54))</f>
        <v>0</v>
      </c>
    </row>
    <row r="27" spans="1:11" ht="15.75" thickBot="1" x14ac:dyDescent="0.3">
      <c r="A27" s="327" t="s">
        <v>459</v>
      </c>
      <c r="B27" s="328"/>
      <c r="C27" s="688" t="s">
        <v>455</v>
      </c>
      <c r="D27" s="689"/>
      <c r="E27" s="323">
        <v>0</v>
      </c>
      <c r="F27" s="329">
        <f t="shared" si="4"/>
        <v>0</v>
      </c>
      <c r="G27" s="323">
        <v>0</v>
      </c>
      <c r="H27" s="329">
        <f t="shared" si="0"/>
        <v>0</v>
      </c>
      <c r="I27" s="430">
        <f t="shared" si="5"/>
        <v>0</v>
      </c>
      <c r="J27" s="436">
        <f t="shared" si="1"/>
        <v>0</v>
      </c>
      <c r="K27" s="432">
        <f>IF(Presupuesto!$D$6=Listas!$A$3,SUMIF(Presupuesto!D$11:D$54,Inversion!C27,Presupuesto!K$11:K$54),SUMIF(Presupuesto!D$11:D$54,Inversion!C27,Presupuesto!H$11:H$54))</f>
        <v>0</v>
      </c>
    </row>
    <row r="28" spans="1:11" ht="15.75" thickBot="1" x14ac:dyDescent="0.3">
      <c r="A28" s="321" t="s">
        <v>458</v>
      </c>
      <c r="B28" s="322"/>
      <c r="C28" s="723" t="s">
        <v>548</v>
      </c>
      <c r="D28" s="724"/>
      <c r="E28" s="323">
        <v>0</v>
      </c>
      <c r="F28" s="324">
        <f t="shared" si="4"/>
        <v>0</v>
      </c>
      <c r="G28" s="323">
        <v>0</v>
      </c>
      <c r="H28" s="324">
        <f t="shared" si="0"/>
        <v>0</v>
      </c>
      <c r="I28" s="427">
        <f t="shared" si="5"/>
        <v>0</v>
      </c>
      <c r="J28" s="435">
        <f t="shared" si="1"/>
        <v>0</v>
      </c>
      <c r="K28" s="429">
        <f>IF(Presupuesto!$D$6=Listas!$A$3,SUMIF(Presupuesto!D$11:D$54,Inversion!C28,Presupuesto!K$11:K$54),SUMIF(Presupuesto!D$11:D$54,Inversion!C28,Presupuesto!H$11:H$54))</f>
        <v>0</v>
      </c>
    </row>
    <row r="29" spans="1:11" ht="15.75" thickBot="1" x14ac:dyDescent="0.3">
      <c r="A29" s="327" t="s">
        <v>458</v>
      </c>
      <c r="B29" s="328"/>
      <c r="C29" s="433" t="s">
        <v>549</v>
      </c>
      <c r="D29" s="434"/>
      <c r="E29" s="323">
        <v>0</v>
      </c>
      <c r="F29" s="329">
        <f t="shared" si="4"/>
        <v>0</v>
      </c>
      <c r="G29" s="323">
        <v>0</v>
      </c>
      <c r="H29" s="329">
        <f t="shared" si="0"/>
        <v>0</v>
      </c>
      <c r="I29" s="430">
        <f t="shared" si="5"/>
        <v>0</v>
      </c>
      <c r="J29" s="436">
        <f t="shared" si="1"/>
        <v>0</v>
      </c>
      <c r="K29" s="432">
        <f>IF(Presupuesto!$D$6=Listas!$A$3,SUMIF(Presupuesto!D$11:D$54,Inversion!C29,Presupuesto!K$11:K$54),SUMIF(Presupuesto!D$11:D$54,Inversion!C29,Presupuesto!H$11:H$54))</f>
        <v>0</v>
      </c>
    </row>
    <row r="30" spans="1:11" ht="15.75" thickBot="1" x14ac:dyDescent="0.3">
      <c r="A30" s="321" t="s">
        <v>458</v>
      </c>
      <c r="B30" s="437"/>
      <c r="C30" s="725" t="s">
        <v>550</v>
      </c>
      <c r="D30" s="726"/>
      <c r="E30" s="438">
        <v>0</v>
      </c>
      <c r="F30" s="439">
        <f t="shared" si="4"/>
        <v>0</v>
      </c>
      <c r="G30" s="438">
        <v>0</v>
      </c>
      <c r="H30" s="439">
        <f t="shared" si="0"/>
        <v>0</v>
      </c>
      <c r="I30" s="440">
        <f t="shared" si="5"/>
        <v>0</v>
      </c>
      <c r="J30" s="441">
        <f t="shared" si="1"/>
        <v>0</v>
      </c>
      <c r="K30" s="442">
        <f>IF(Presupuesto!$D$6=Listas!$A$3,SUMIF(Presupuesto!D$11:D$54,Inversion!C30,Presupuesto!K$11:K$54),SUMIF(Presupuesto!D$11:D$54,Inversion!C30,Presupuesto!H$11:H$54))</f>
        <v>0</v>
      </c>
    </row>
  </sheetData>
  <sheetProtection algorithmName="SHA-512" hashValue="k9k5Lgok2asm9FoL8MLcKIHhzQAePcBK60C5NP7PJGn5YP4xcP2WUVkSsPD3o2rxzNxwECsTxNvSHceFMUYBAw==" saltValue="yQT31DFp+U88tAuv/mbHjw==" spinCount="100000" sheet="1" autoFilter="0"/>
  <autoFilter ref="A6:C6" xr:uid="{00000000-0009-0000-0000-000003000000}"/>
  <mergeCells count="24">
    <mergeCell ref="C22:D22"/>
    <mergeCell ref="C20:D20"/>
    <mergeCell ref="C16:D16"/>
    <mergeCell ref="C23:D23"/>
    <mergeCell ref="C28:D28"/>
    <mergeCell ref="C30:D30"/>
    <mergeCell ref="C25:D25"/>
    <mergeCell ref="C26:D26"/>
    <mergeCell ref="C27:D27"/>
    <mergeCell ref="C24:D24"/>
    <mergeCell ref="C10:D10"/>
    <mergeCell ref="C18:D18"/>
    <mergeCell ref="C11:D11"/>
    <mergeCell ref="C12:D12"/>
    <mergeCell ref="C13:D13"/>
    <mergeCell ref="C14:D14"/>
    <mergeCell ref="B1:G1"/>
    <mergeCell ref="C4:D4"/>
    <mergeCell ref="E7:F7"/>
    <mergeCell ref="G7:H7"/>
    <mergeCell ref="B8:D8"/>
    <mergeCell ref="C2:K2"/>
    <mergeCell ref="C3:K3"/>
    <mergeCell ref="I1:K1"/>
  </mergeCells>
  <pageMargins left="0.35433070866141736" right="0.15748031496062992" top="1.1417322834645669" bottom="0.78740157480314965" header="0.31496062992125984" footer="0.31496062992125984"/>
  <pageSetup paperSize="9" scale="63" fitToHeight="0" orientation="portrait" r:id="rId1"/>
  <headerFooter scaleWithDoc="0">
    <oddHeader>&amp;L&amp;G</oddHeader>
    <oddFooter>&amp;L&amp;"Eras Demi ITC,Normal"&amp;8&amp;G&amp;R&amp;8&amp;P/&amp;N</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C00000"/>
    <pageSetUpPr fitToPage="1"/>
  </sheetPr>
  <dimension ref="A1:H112"/>
  <sheetViews>
    <sheetView topLeftCell="B1" zoomScaleNormal="100" zoomScaleSheetLayoutView="110" workbookViewId="0">
      <selection activeCell="B1" sqref="B1:E1"/>
    </sheetView>
  </sheetViews>
  <sheetFormatPr baseColWidth="10" defaultColWidth="11.42578125" defaultRowHeight="15" x14ac:dyDescent="0.25"/>
  <cols>
    <col min="1" max="1" width="8.5703125" style="485" hidden="1" customWidth="1"/>
    <col min="2" max="2" width="9.28515625" style="486" customWidth="1"/>
    <col min="3" max="3" width="24.5703125" style="487" customWidth="1"/>
    <col min="4" max="4" width="34.42578125" style="488" customWidth="1"/>
    <col min="5" max="5" width="16.42578125" style="489" customWidth="1"/>
    <col min="6" max="6" width="16.42578125" style="464" customWidth="1"/>
    <col min="7" max="7" width="16.42578125" style="489" customWidth="1"/>
    <col min="8" max="8" width="16.42578125" style="464" customWidth="1"/>
    <col min="9" max="16384" width="11.42578125" style="17"/>
  </cols>
  <sheetData>
    <row r="1" spans="1:8" ht="24.75" customHeight="1" thickTop="1" thickBot="1" x14ac:dyDescent="0.4">
      <c r="A1" s="18"/>
      <c r="B1" s="636" t="str">
        <f>"PLAN VIABILIDAD PROYECTOS "&amp;LEFT(Baremo!C8,8)</f>
        <v xml:space="preserve">PLAN VIABILIDAD PROYECTOS Linea 3 </v>
      </c>
      <c r="C1" s="636"/>
      <c r="D1" s="636"/>
      <c r="E1" s="636"/>
      <c r="F1" s="415"/>
      <c r="G1" s="746" t="str">
        <f>Baremo!J1</f>
        <v xml:space="preserve">  GDR: JA07  Convocatoria: 2020</v>
      </c>
      <c r="H1" s="746"/>
    </row>
    <row r="2" spans="1:8" ht="16.5" thickTop="1" thickBot="1" x14ac:dyDescent="0.3">
      <c r="A2" s="18"/>
      <c r="B2" s="416" t="str">
        <f>Baremo!B2</f>
        <v>Proyecto:</v>
      </c>
      <c r="C2" s="747" t="str">
        <f>IF(Baremo!C2:I2=0,"",Baremo!C2:I2)</f>
        <v/>
      </c>
      <c r="D2" s="748"/>
      <c r="E2" s="748"/>
      <c r="F2" s="748"/>
      <c r="G2" s="748"/>
      <c r="H2" s="749"/>
    </row>
    <row r="3" spans="1:8" ht="15.75" customHeight="1" thickTop="1" thickBot="1" x14ac:dyDescent="0.3">
      <c r="A3" s="18"/>
      <c r="B3" s="168" t="str">
        <f>Baremo!B3</f>
        <v>Solicitante:</v>
      </c>
      <c r="C3" s="719" t="str">
        <f>IF(Baremo!C3:I3=0,"",Baremo!C3:I3)</f>
        <v/>
      </c>
      <c r="D3" s="720"/>
      <c r="E3" s="720"/>
      <c r="F3" s="720"/>
      <c r="G3" s="720"/>
      <c r="H3" s="721"/>
    </row>
    <row r="4" spans="1:8" ht="16.5" thickTop="1" thickBot="1" x14ac:dyDescent="0.3">
      <c r="A4" s="18"/>
      <c r="B4" s="168" t="str">
        <f>Baremo!B4</f>
        <v>Municipio:</v>
      </c>
      <c r="C4" s="712" t="str">
        <f>IF(Baremo!C4:I4=0,"",Baremo!C4:I4)</f>
        <v/>
      </c>
      <c r="D4" s="712"/>
      <c r="E4" s="443"/>
      <c r="F4" s="444"/>
      <c r="G4" s="443"/>
      <c r="H4" s="445"/>
    </row>
    <row r="5" spans="1:8" ht="16.5" thickTop="1" thickBot="1" x14ac:dyDescent="0.3">
      <c r="A5" s="18"/>
      <c r="B5" s="168" t="str">
        <f>Baremo!B5</f>
        <v>Fecha</v>
      </c>
      <c r="C5" s="173">
        <f>IF(Baremo!C5:I5=0,"",Baremo!C5:I5)</f>
        <v>44136</v>
      </c>
      <c r="D5" s="174"/>
      <c r="E5" s="180"/>
      <c r="F5" s="446"/>
      <c r="G5" s="447" t="str">
        <f>IF(E8&lt;&gt;Inversion!I8,E8-Inversion!I8,"")</f>
        <v/>
      </c>
      <c r="H5" s="448"/>
    </row>
    <row r="6" spans="1:8" ht="9" customHeight="1" thickTop="1" thickBot="1" x14ac:dyDescent="0.3">
      <c r="A6" s="302" t="s">
        <v>339</v>
      </c>
      <c r="B6" s="372"/>
      <c r="C6" s="418"/>
      <c r="D6" s="418"/>
      <c r="E6" s="418"/>
      <c r="F6" s="418"/>
      <c r="G6" s="418"/>
      <c r="H6" s="418"/>
    </row>
    <row r="7" spans="1:8" ht="16.5" thickBot="1" x14ac:dyDescent="0.3">
      <c r="A7" s="306" t="s">
        <v>508</v>
      </c>
      <c r="B7" s="736" t="s">
        <v>967</v>
      </c>
      <c r="C7" s="737"/>
      <c r="D7" s="737"/>
      <c r="E7" s="750">
        <f>YEAR(Baremo!C5)</f>
        <v>2020</v>
      </c>
      <c r="F7" s="750"/>
      <c r="G7" s="750"/>
      <c r="H7" s="751"/>
    </row>
    <row r="8" spans="1:8" s="96" customFormat="1" ht="15.75" thickBot="1" x14ac:dyDescent="0.3">
      <c r="A8" s="316" t="s">
        <v>508</v>
      </c>
      <c r="B8" s="752" t="s">
        <v>985</v>
      </c>
      <c r="C8" s="753"/>
      <c r="D8" s="753"/>
      <c r="E8" s="449">
        <f>E9+E17+E27</f>
        <v>0</v>
      </c>
      <c r="F8" s="759"/>
      <c r="G8" s="760"/>
      <c r="H8" s="761"/>
    </row>
    <row r="9" spans="1:8" s="96" customFormat="1" ht="15" customHeight="1" thickBot="1" x14ac:dyDescent="0.3">
      <c r="A9" s="316" t="s">
        <v>508</v>
      </c>
      <c r="B9" s="696" t="s">
        <v>463</v>
      </c>
      <c r="C9" s="697"/>
      <c r="D9" s="697"/>
      <c r="E9" s="450">
        <f>SUM(E10:E16)</f>
        <v>0</v>
      </c>
      <c r="F9" s="756" t="s">
        <v>575</v>
      </c>
      <c r="G9" s="757"/>
      <c r="H9" s="758"/>
    </row>
    <row r="10" spans="1:8" ht="15.75" thickBot="1" x14ac:dyDescent="0.3">
      <c r="A10" s="321" t="s">
        <v>508</v>
      </c>
      <c r="B10" s="322"/>
      <c r="C10" s="698" t="s">
        <v>464</v>
      </c>
      <c r="D10" s="699"/>
      <c r="E10" s="323"/>
      <c r="F10" s="733"/>
      <c r="G10" s="734"/>
      <c r="H10" s="735"/>
    </row>
    <row r="11" spans="1:8" ht="15.75" customHeight="1" thickBot="1" x14ac:dyDescent="0.3">
      <c r="A11" s="327" t="s">
        <v>508</v>
      </c>
      <c r="B11" s="328"/>
      <c r="C11" s="688" t="s">
        <v>465</v>
      </c>
      <c r="D11" s="689"/>
      <c r="E11" s="323"/>
      <c r="F11" s="733"/>
      <c r="G11" s="734"/>
      <c r="H11" s="735"/>
    </row>
    <row r="12" spans="1:8" ht="15.75" thickBot="1" x14ac:dyDescent="0.3">
      <c r="A12" s="321" t="s">
        <v>508</v>
      </c>
      <c r="B12" s="322"/>
      <c r="C12" s="698" t="s">
        <v>512</v>
      </c>
      <c r="D12" s="699"/>
      <c r="E12" s="323"/>
      <c r="F12" s="733"/>
      <c r="G12" s="734"/>
      <c r="H12" s="735"/>
    </row>
    <row r="13" spans="1:8" ht="15.75" thickBot="1" x14ac:dyDescent="0.3">
      <c r="A13" s="327" t="s">
        <v>508</v>
      </c>
      <c r="B13" s="328"/>
      <c r="C13" s="688" t="s">
        <v>466</v>
      </c>
      <c r="D13" s="689"/>
      <c r="E13" s="323"/>
      <c r="F13" s="733"/>
      <c r="G13" s="734"/>
      <c r="H13" s="735"/>
    </row>
    <row r="14" spans="1:8" ht="15.75" thickBot="1" x14ac:dyDescent="0.3">
      <c r="A14" s="321" t="s">
        <v>508</v>
      </c>
      <c r="B14" s="322"/>
      <c r="C14" s="723" t="s">
        <v>560</v>
      </c>
      <c r="D14" s="724"/>
      <c r="E14" s="323"/>
      <c r="F14" s="733"/>
      <c r="G14" s="734"/>
      <c r="H14" s="735"/>
    </row>
    <row r="15" spans="1:8" ht="15.75" thickBot="1" x14ac:dyDescent="0.3">
      <c r="A15" s="327" t="s">
        <v>508</v>
      </c>
      <c r="B15" s="328"/>
      <c r="C15" s="723" t="s">
        <v>561</v>
      </c>
      <c r="D15" s="724"/>
      <c r="E15" s="323"/>
      <c r="F15" s="733"/>
      <c r="G15" s="734"/>
      <c r="H15" s="735"/>
    </row>
    <row r="16" spans="1:8" ht="15.75" thickBot="1" x14ac:dyDescent="0.3">
      <c r="A16" s="321" t="s">
        <v>508</v>
      </c>
      <c r="B16" s="322"/>
      <c r="C16" s="723" t="s">
        <v>561</v>
      </c>
      <c r="D16" s="724"/>
      <c r="E16" s="323"/>
      <c r="F16" s="733"/>
      <c r="G16" s="734"/>
      <c r="H16" s="735"/>
    </row>
    <row r="17" spans="1:8" s="96" customFormat="1" ht="15.75" thickBot="1" x14ac:dyDescent="0.3">
      <c r="A17" s="316" t="s">
        <v>508</v>
      </c>
      <c r="B17" s="696" t="s">
        <v>467</v>
      </c>
      <c r="C17" s="697"/>
      <c r="D17" s="697"/>
      <c r="E17" s="318">
        <f>SUM(E19:E26)</f>
        <v>0</v>
      </c>
      <c r="F17" s="756" t="s">
        <v>980</v>
      </c>
      <c r="G17" s="757"/>
      <c r="H17" s="758"/>
    </row>
    <row r="18" spans="1:8" ht="15.75" customHeight="1" thickBot="1" x14ac:dyDescent="0.3">
      <c r="A18" s="316" t="s">
        <v>508</v>
      </c>
      <c r="B18" s="451"/>
      <c r="C18" s="452"/>
      <c r="D18" s="452"/>
      <c r="E18" s="453" t="s">
        <v>469</v>
      </c>
      <c r="F18" s="453" t="s">
        <v>978</v>
      </c>
      <c r="G18" s="453" t="s">
        <v>979</v>
      </c>
      <c r="H18" s="454" t="s">
        <v>473</v>
      </c>
    </row>
    <row r="19" spans="1:8" ht="15.75" thickBot="1" x14ac:dyDescent="0.3">
      <c r="A19" s="321" t="s">
        <v>508</v>
      </c>
      <c r="B19" s="322"/>
      <c r="C19" s="698" t="s">
        <v>509</v>
      </c>
      <c r="D19" s="699"/>
      <c r="E19" s="323"/>
      <c r="F19" s="455">
        <v>0</v>
      </c>
      <c r="G19" s="323">
        <v>0</v>
      </c>
      <c r="H19" s="456">
        <v>0</v>
      </c>
    </row>
    <row r="20" spans="1:8" ht="15.75" thickBot="1" x14ac:dyDescent="0.3">
      <c r="A20" s="327" t="s">
        <v>508</v>
      </c>
      <c r="B20" s="328"/>
      <c r="C20" s="688" t="s">
        <v>510</v>
      </c>
      <c r="D20" s="689"/>
      <c r="E20" s="323"/>
      <c r="F20" s="455">
        <v>0</v>
      </c>
      <c r="G20" s="323">
        <v>0</v>
      </c>
      <c r="H20" s="456">
        <v>0</v>
      </c>
    </row>
    <row r="21" spans="1:8" ht="15.75" customHeight="1" thickBot="1" x14ac:dyDescent="0.3">
      <c r="A21" s="321" t="s">
        <v>508</v>
      </c>
      <c r="B21" s="322"/>
      <c r="C21" s="698" t="s">
        <v>494</v>
      </c>
      <c r="D21" s="699"/>
      <c r="E21" s="323"/>
      <c r="F21" s="455">
        <v>0</v>
      </c>
      <c r="G21" s="323">
        <v>0</v>
      </c>
      <c r="H21" s="456">
        <v>0</v>
      </c>
    </row>
    <row r="22" spans="1:8" ht="15.75" thickBot="1" x14ac:dyDescent="0.3">
      <c r="A22" s="327" t="s">
        <v>508</v>
      </c>
      <c r="B22" s="328"/>
      <c r="C22" s="688" t="s">
        <v>468</v>
      </c>
      <c r="D22" s="689"/>
      <c r="E22" s="323"/>
      <c r="F22" s="455">
        <v>0</v>
      </c>
      <c r="G22" s="323">
        <v>0</v>
      </c>
      <c r="H22" s="456">
        <v>0</v>
      </c>
    </row>
    <row r="23" spans="1:8" ht="15.75" thickBot="1" x14ac:dyDescent="0.3">
      <c r="A23" s="321" t="s">
        <v>508</v>
      </c>
      <c r="B23" s="322"/>
      <c r="C23" s="698" t="s">
        <v>495</v>
      </c>
      <c r="D23" s="699"/>
      <c r="E23" s="323"/>
      <c r="F23" s="455">
        <v>0</v>
      </c>
      <c r="G23" s="323">
        <v>0</v>
      </c>
      <c r="H23" s="456">
        <v>0</v>
      </c>
    </row>
    <row r="24" spans="1:8" ht="15.75" thickBot="1" x14ac:dyDescent="0.3">
      <c r="A24" s="321" t="s">
        <v>508</v>
      </c>
      <c r="B24" s="322"/>
      <c r="C24" s="723" t="s">
        <v>562</v>
      </c>
      <c r="D24" s="724"/>
      <c r="E24" s="323"/>
      <c r="F24" s="455">
        <v>0</v>
      </c>
      <c r="G24" s="323">
        <v>0</v>
      </c>
      <c r="H24" s="456">
        <v>0</v>
      </c>
    </row>
    <row r="25" spans="1:8" ht="15.75" thickBot="1" x14ac:dyDescent="0.3">
      <c r="A25" s="327" t="s">
        <v>508</v>
      </c>
      <c r="B25" s="328"/>
      <c r="C25" s="723" t="s">
        <v>563</v>
      </c>
      <c r="D25" s="724"/>
      <c r="E25" s="323"/>
      <c r="F25" s="455">
        <v>0</v>
      </c>
      <c r="G25" s="323">
        <v>0</v>
      </c>
      <c r="H25" s="456">
        <v>0</v>
      </c>
    </row>
    <row r="26" spans="1:8" ht="15.75" thickBot="1" x14ac:dyDescent="0.3">
      <c r="A26" s="321" t="s">
        <v>508</v>
      </c>
      <c r="B26" s="322"/>
      <c r="C26" s="723" t="s">
        <v>564</v>
      </c>
      <c r="D26" s="724"/>
      <c r="E26" s="323"/>
      <c r="F26" s="455">
        <v>0</v>
      </c>
      <c r="G26" s="323">
        <v>0</v>
      </c>
      <c r="H26" s="456">
        <v>0</v>
      </c>
    </row>
    <row r="27" spans="1:8" s="96" customFormat="1" ht="15.75" thickBot="1" x14ac:dyDescent="0.3">
      <c r="A27" s="316" t="s">
        <v>508</v>
      </c>
      <c r="B27" s="696" t="s">
        <v>1105</v>
      </c>
      <c r="C27" s="697"/>
      <c r="D27" s="697"/>
      <c r="E27" s="450">
        <f>SUM(E28:E34)</f>
        <v>0</v>
      </c>
      <c r="F27" s="762" t="s">
        <v>575</v>
      </c>
      <c r="G27" s="763"/>
      <c r="H27" s="764"/>
    </row>
    <row r="28" spans="1:8" ht="15.75" thickBot="1" x14ac:dyDescent="0.3">
      <c r="A28" s="321" t="s">
        <v>508</v>
      </c>
      <c r="B28" s="322"/>
      <c r="C28" s="698" t="s">
        <v>964</v>
      </c>
      <c r="D28" s="699"/>
      <c r="E28" s="323"/>
      <c r="F28" s="733"/>
      <c r="G28" s="734"/>
      <c r="H28" s="735"/>
    </row>
    <row r="29" spans="1:8" ht="15.75" thickBot="1" x14ac:dyDescent="0.3">
      <c r="A29" s="327" t="s">
        <v>508</v>
      </c>
      <c r="B29" s="328"/>
      <c r="C29" s="688" t="s">
        <v>965</v>
      </c>
      <c r="D29" s="689"/>
      <c r="E29" s="323"/>
      <c r="F29" s="733"/>
      <c r="G29" s="734"/>
      <c r="H29" s="735"/>
    </row>
    <row r="30" spans="1:8" ht="15.75" thickBot="1" x14ac:dyDescent="0.3">
      <c r="A30" s="321" t="s">
        <v>508</v>
      </c>
      <c r="B30" s="322"/>
      <c r="C30" s="698" t="s">
        <v>966</v>
      </c>
      <c r="D30" s="699"/>
      <c r="E30" s="323"/>
      <c r="F30" s="733"/>
      <c r="G30" s="734"/>
      <c r="H30" s="735"/>
    </row>
    <row r="31" spans="1:8" ht="15.75" thickBot="1" x14ac:dyDescent="0.3">
      <c r="A31" s="327" t="s">
        <v>508</v>
      </c>
      <c r="B31" s="328"/>
      <c r="C31" s="688" t="s">
        <v>470</v>
      </c>
      <c r="D31" s="689"/>
      <c r="E31" s="323"/>
      <c r="F31" s="733"/>
      <c r="G31" s="734"/>
      <c r="H31" s="735"/>
    </row>
    <row r="32" spans="1:8" ht="15.75" thickBot="1" x14ac:dyDescent="0.3">
      <c r="A32" s="321" t="s">
        <v>508</v>
      </c>
      <c r="B32" s="322"/>
      <c r="C32" s="698" t="s">
        <v>511</v>
      </c>
      <c r="D32" s="699"/>
      <c r="E32" s="323"/>
      <c r="F32" s="733"/>
      <c r="G32" s="734"/>
      <c r="H32" s="735"/>
    </row>
    <row r="33" spans="1:8" ht="15.75" thickBot="1" x14ac:dyDescent="0.3">
      <c r="A33" s="327" t="s">
        <v>508</v>
      </c>
      <c r="B33" s="328"/>
      <c r="C33" s="754" t="s">
        <v>565</v>
      </c>
      <c r="D33" s="755"/>
      <c r="E33" s="323"/>
      <c r="F33" s="733"/>
      <c r="G33" s="734"/>
      <c r="H33" s="735"/>
    </row>
    <row r="34" spans="1:8" ht="15.75" thickBot="1" x14ac:dyDescent="0.3">
      <c r="A34" s="321" t="s">
        <v>508</v>
      </c>
      <c r="B34" s="322"/>
      <c r="C34" s="754" t="s">
        <v>566</v>
      </c>
      <c r="D34" s="755"/>
      <c r="E34" s="323"/>
      <c r="F34" s="733"/>
      <c r="G34" s="734"/>
      <c r="H34" s="735"/>
    </row>
    <row r="35" spans="1:8" ht="15.75" thickBot="1" x14ac:dyDescent="0.3">
      <c r="A35" s="321" t="s">
        <v>508</v>
      </c>
      <c r="B35" s="322"/>
      <c r="C35" s="723" t="s">
        <v>567</v>
      </c>
      <c r="D35" s="724"/>
      <c r="E35" s="323"/>
      <c r="F35" s="733"/>
      <c r="G35" s="734"/>
      <c r="H35" s="735"/>
    </row>
    <row r="36" spans="1:8" ht="15.75" x14ac:dyDescent="0.25">
      <c r="A36" s="306" t="s">
        <v>969</v>
      </c>
      <c r="B36" s="736" t="s">
        <v>968</v>
      </c>
      <c r="C36" s="737"/>
      <c r="D36" s="737"/>
      <c r="E36" s="737"/>
      <c r="F36" s="457"/>
      <c r="G36" s="457"/>
      <c r="H36" s="458"/>
    </row>
    <row r="37" spans="1:8" s="96" customFormat="1" ht="16.5" customHeight="1" thickBot="1" x14ac:dyDescent="0.3">
      <c r="A37" s="316" t="s">
        <v>969</v>
      </c>
      <c r="B37" s="738" t="s">
        <v>963</v>
      </c>
      <c r="C37" s="739"/>
      <c r="D37" s="739"/>
      <c r="E37" s="739"/>
      <c r="F37" s="459">
        <f>YEAR(Baremo!C5)</f>
        <v>2020</v>
      </c>
      <c r="G37" s="459">
        <f>F37+1</f>
        <v>2021</v>
      </c>
      <c r="H37" s="460">
        <f>G37+1</f>
        <v>2022</v>
      </c>
    </row>
    <row r="38" spans="1:8" s="96" customFormat="1" ht="15" customHeight="1" thickBot="1" x14ac:dyDescent="0.3">
      <c r="A38" s="316" t="s">
        <v>969</v>
      </c>
      <c r="B38" s="740" t="s">
        <v>1106</v>
      </c>
      <c r="C38" s="741"/>
      <c r="D38" s="741"/>
      <c r="E38" s="742"/>
      <c r="F38" s="318">
        <f>SUM(F39:F46)</f>
        <v>0</v>
      </c>
      <c r="G38" s="318">
        <f>SUM(G39:G46)</f>
        <v>0</v>
      </c>
      <c r="H38" s="426">
        <f>SUM(H39:H47)</f>
        <v>0</v>
      </c>
    </row>
    <row r="39" spans="1:8" ht="15.75" thickBot="1" x14ac:dyDescent="0.3">
      <c r="A39" s="321" t="s">
        <v>969</v>
      </c>
      <c r="B39" s="322"/>
      <c r="C39" s="727"/>
      <c r="D39" s="728"/>
      <c r="E39" s="729"/>
      <c r="F39" s="323"/>
      <c r="G39" s="323"/>
      <c r="H39" s="456"/>
    </row>
    <row r="40" spans="1:8" ht="15.75" thickBot="1" x14ac:dyDescent="0.3">
      <c r="A40" s="327" t="s">
        <v>969</v>
      </c>
      <c r="B40" s="328"/>
      <c r="C40" s="727"/>
      <c r="D40" s="728"/>
      <c r="E40" s="729"/>
      <c r="F40" s="323"/>
      <c r="G40" s="323"/>
      <c r="H40" s="456"/>
    </row>
    <row r="41" spans="1:8" ht="15.75" thickBot="1" x14ac:dyDescent="0.3">
      <c r="A41" s="321" t="s">
        <v>969</v>
      </c>
      <c r="B41" s="322"/>
      <c r="C41" s="727"/>
      <c r="D41" s="728"/>
      <c r="E41" s="729"/>
      <c r="F41" s="323"/>
      <c r="G41" s="323"/>
      <c r="H41" s="456"/>
    </row>
    <row r="42" spans="1:8" ht="15.75" thickBot="1" x14ac:dyDescent="0.3">
      <c r="A42" s="327" t="s">
        <v>969</v>
      </c>
      <c r="B42" s="328"/>
      <c r="C42" s="727"/>
      <c r="D42" s="728"/>
      <c r="E42" s="729"/>
      <c r="F42" s="323"/>
      <c r="G42" s="323"/>
      <c r="H42" s="456"/>
    </row>
    <row r="43" spans="1:8" ht="15.75" thickBot="1" x14ac:dyDescent="0.3">
      <c r="A43" s="321" t="s">
        <v>969</v>
      </c>
      <c r="B43" s="322"/>
      <c r="C43" s="727"/>
      <c r="D43" s="728"/>
      <c r="E43" s="729"/>
      <c r="F43" s="323"/>
      <c r="G43" s="323"/>
      <c r="H43" s="456"/>
    </row>
    <row r="44" spans="1:8" ht="15.75" thickBot="1" x14ac:dyDescent="0.3">
      <c r="A44" s="327" t="s">
        <v>969</v>
      </c>
      <c r="B44" s="328"/>
      <c r="C44" s="727"/>
      <c r="D44" s="728"/>
      <c r="E44" s="729"/>
      <c r="F44" s="323"/>
      <c r="G44" s="323"/>
      <c r="H44" s="456"/>
    </row>
    <row r="45" spans="1:8" ht="15.75" thickBot="1" x14ac:dyDescent="0.3">
      <c r="A45" s="321" t="s">
        <v>969</v>
      </c>
      <c r="B45" s="322"/>
      <c r="C45" s="727"/>
      <c r="D45" s="728"/>
      <c r="E45" s="729"/>
      <c r="F45" s="323"/>
      <c r="G45" s="323"/>
      <c r="H45" s="456"/>
    </row>
    <row r="46" spans="1:8" ht="15.75" thickBot="1" x14ac:dyDescent="0.3">
      <c r="A46" s="327" t="s">
        <v>969</v>
      </c>
      <c r="B46" s="328"/>
      <c r="C46" s="727"/>
      <c r="D46" s="728"/>
      <c r="E46" s="729"/>
      <c r="F46" s="323"/>
      <c r="G46" s="323"/>
      <c r="H46" s="456"/>
    </row>
    <row r="47" spans="1:8" ht="15.75" thickBot="1" x14ac:dyDescent="0.3">
      <c r="A47" s="321" t="s">
        <v>969</v>
      </c>
      <c r="B47" s="437"/>
      <c r="C47" s="730" t="s">
        <v>990</v>
      </c>
      <c r="D47" s="731"/>
      <c r="E47" s="732"/>
      <c r="F47" s="461"/>
      <c r="G47" s="461"/>
      <c r="H47" s="462"/>
    </row>
    <row r="48" spans="1:8" ht="15.75" x14ac:dyDescent="0.25">
      <c r="A48" s="306" t="s">
        <v>989</v>
      </c>
      <c r="B48" s="736" t="s">
        <v>988</v>
      </c>
      <c r="C48" s="737"/>
      <c r="D48" s="737"/>
      <c r="E48" s="737"/>
      <c r="F48" s="457"/>
      <c r="G48" s="457"/>
      <c r="H48" s="458"/>
    </row>
    <row r="49" spans="1:8" s="96" customFormat="1" ht="16.5" customHeight="1" thickBot="1" x14ac:dyDescent="0.3">
      <c r="A49" s="316" t="s">
        <v>989</v>
      </c>
      <c r="B49" s="738" t="s">
        <v>986</v>
      </c>
      <c r="C49" s="739"/>
      <c r="D49" s="739"/>
      <c r="E49" s="739"/>
      <c r="F49" s="459">
        <f>YEAR(Baremo!C5)</f>
        <v>2020</v>
      </c>
      <c r="G49" s="459">
        <f>F49+1</f>
        <v>2021</v>
      </c>
      <c r="H49" s="460">
        <f>G49+1</f>
        <v>2022</v>
      </c>
    </row>
    <row r="50" spans="1:8" s="96" customFormat="1" ht="15" customHeight="1" thickBot="1" x14ac:dyDescent="0.3">
      <c r="A50" s="316" t="s">
        <v>989</v>
      </c>
      <c r="B50" s="740" t="s">
        <v>987</v>
      </c>
      <c r="C50" s="741"/>
      <c r="D50" s="741"/>
      <c r="E50" s="742"/>
      <c r="F50" s="318">
        <f>SUM(F51:F59)</f>
        <v>0</v>
      </c>
      <c r="G50" s="318">
        <f>SUM(G51:G59)</f>
        <v>0</v>
      </c>
      <c r="H50" s="426">
        <f>SUM(H51:H59)</f>
        <v>0</v>
      </c>
    </row>
    <row r="51" spans="1:8" ht="15.75" thickBot="1" x14ac:dyDescent="0.3">
      <c r="A51" s="321" t="s">
        <v>989</v>
      </c>
      <c r="B51" s="322"/>
      <c r="C51" s="727"/>
      <c r="D51" s="728"/>
      <c r="E51" s="729"/>
      <c r="F51" s="323"/>
      <c r="G51" s="323"/>
      <c r="H51" s="456"/>
    </row>
    <row r="52" spans="1:8" ht="15.75" thickBot="1" x14ac:dyDescent="0.3">
      <c r="A52" s="327" t="s">
        <v>989</v>
      </c>
      <c r="B52" s="328"/>
      <c r="C52" s="727"/>
      <c r="D52" s="728"/>
      <c r="E52" s="729"/>
      <c r="F52" s="323"/>
      <c r="G52" s="323"/>
      <c r="H52" s="456"/>
    </row>
    <row r="53" spans="1:8" ht="15.75" thickBot="1" x14ac:dyDescent="0.3">
      <c r="A53" s="321" t="s">
        <v>989</v>
      </c>
      <c r="B53" s="322"/>
      <c r="C53" s="727"/>
      <c r="D53" s="728"/>
      <c r="E53" s="729"/>
      <c r="F53" s="323"/>
      <c r="G53" s="323"/>
      <c r="H53" s="456"/>
    </row>
    <row r="54" spans="1:8" ht="15.75" thickBot="1" x14ac:dyDescent="0.3">
      <c r="A54" s="327" t="s">
        <v>989</v>
      </c>
      <c r="B54" s="328"/>
      <c r="C54" s="727"/>
      <c r="D54" s="728"/>
      <c r="E54" s="729"/>
      <c r="F54" s="323"/>
      <c r="G54" s="323"/>
      <c r="H54" s="456"/>
    </row>
    <row r="55" spans="1:8" ht="15.75" thickBot="1" x14ac:dyDescent="0.3">
      <c r="A55" s="321" t="s">
        <v>989</v>
      </c>
      <c r="B55" s="322"/>
      <c r="C55" s="727"/>
      <c r="D55" s="728"/>
      <c r="E55" s="729"/>
      <c r="F55" s="323"/>
      <c r="G55" s="323"/>
      <c r="H55" s="456"/>
    </row>
    <row r="56" spans="1:8" ht="15.75" thickBot="1" x14ac:dyDescent="0.3">
      <c r="A56" s="327" t="s">
        <v>989</v>
      </c>
      <c r="B56" s="328"/>
      <c r="C56" s="727"/>
      <c r="D56" s="728"/>
      <c r="E56" s="729"/>
      <c r="F56" s="323"/>
      <c r="G56" s="323"/>
      <c r="H56" s="456"/>
    </row>
    <row r="57" spans="1:8" ht="15.75" thickBot="1" x14ac:dyDescent="0.3">
      <c r="A57" s="321" t="s">
        <v>989</v>
      </c>
      <c r="B57" s="322"/>
      <c r="C57" s="727"/>
      <c r="D57" s="728"/>
      <c r="E57" s="729"/>
      <c r="F57" s="323"/>
      <c r="G57" s="323"/>
      <c r="H57" s="456"/>
    </row>
    <row r="58" spans="1:8" ht="15.75" thickBot="1" x14ac:dyDescent="0.3">
      <c r="A58" s="327" t="s">
        <v>989</v>
      </c>
      <c r="B58" s="328"/>
      <c r="C58" s="727"/>
      <c r="D58" s="728"/>
      <c r="E58" s="729"/>
      <c r="F58" s="323"/>
      <c r="G58" s="323"/>
      <c r="H58" s="456"/>
    </row>
    <row r="59" spans="1:8" ht="15.75" thickBot="1" x14ac:dyDescent="0.3">
      <c r="A59" s="321" t="s">
        <v>989</v>
      </c>
      <c r="B59" s="437"/>
      <c r="C59" s="743"/>
      <c r="D59" s="744"/>
      <c r="E59" s="745"/>
      <c r="F59" s="438"/>
      <c r="G59" s="438"/>
      <c r="H59" s="462"/>
    </row>
    <row r="60" spans="1:8" x14ac:dyDescent="0.25">
      <c r="A60" s="163"/>
      <c r="B60" s="17"/>
      <c r="C60" s="17"/>
      <c r="D60" s="17"/>
      <c r="E60" s="463"/>
      <c r="G60" s="463"/>
      <c r="H60" s="17"/>
    </row>
    <row r="61" spans="1:8" x14ac:dyDescent="0.25">
      <c r="A61" s="163"/>
      <c r="B61" s="17"/>
      <c r="C61" s="17"/>
      <c r="D61" s="17"/>
      <c r="E61" s="463"/>
      <c r="G61" s="463"/>
      <c r="H61" s="17"/>
    </row>
    <row r="62" spans="1:8" x14ac:dyDescent="0.25">
      <c r="A62" s="163"/>
      <c r="B62" s="17"/>
      <c r="C62" s="17"/>
      <c r="D62" s="17"/>
      <c r="E62" s="463"/>
      <c r="G62" s="463"/>
      <c r="H62" s="17"/>
    </row>
    <row r="63" spans="1:8" x14ac:dyDescent="0.25">
      <c r="A63" s="163"/>
      <c r="B63" s="17"/>
      <c r="C63" s="17"/>
      <c r="D63" s="17"/>
      <c r="E63" s="463"/>
      <c r="G63" s="463"/>
      <c r="H63" s="17"/>
    </row>
    <row r="64" spans="1:8" x14ac:dyDescent="0.25">
      <c r="A64" s="163"/>
      <c r="B64" s="17"/>
      <c r="C64" s="17"/>
      <c r="D64" s="17"/>
      <c r="E64" s="463"/>
      <c r="G64" s="463"/>
      <c r="H64" s="17"/>
    </row>
    <row r="65" spans="1:8" x14ac:dyDescent="0.25">
      <c r="A65" s="163"/>
      <c r="B65" s="17"/>
      <c r="C65" s="17"/>
      <c r="D65" s="17"/>
      <c r="E65" s="463"/>
      <c r="G65" s="463"/>
      <c r="H65" s="17"/>
    </row>
    <row r="66" spans="1:8" x14ac:dyDescent="0.25">
      <c r="A66" s="163"/>
      <c r="B66" s="17"/>
      <c r="C66" s="17"/>
      <c r="D66" s="17"/>
      <c r="E66" s="463"/>
      <c r="G66" s="463"/>
      <c r="H66" s="17"/>
    </row>
    <row r="67" spans="1:8" x14ac:dyDescent="0.25">
      <c r="A67" s="163"/>
      <c r="B67" s="17"/>
      <c r="C67" s="17"/>
      <c r="D67" s="17"/>
      <c r="E67" s="463"/>
      <c r="G67" s="463"/>
      <c r="H67" s="17"/>
    </row>
    <row r="68" spans="1:8" x14ac:dyDescent="0.25">
      <c r="A68" s="163"/>
      <c r="B68" s="17"/>
      <c r="C68" s="17"/>
      <c r="D68" s="17"/>
      <c r="E68" s="463"/>
      <c r="G68" s="463"/>
      <c r="H68" s="17"/>
    </row>
    <row r="69" spans="1:8" x14ac:dyDescent="0.25">
      <c r="A69" s="163"/>
      <c r="B69" s="17"/>
      <c r="C69" s="17"/>
      <c r="D69" s="17"/>
      <c r="E69" s="463"/>
      <c r="G69" s="463"/>
      <c r="H69" s="17"/>
    </row>
    <row r="70" spans="1:8" x14ac:dyDescent="0.25">
      <c r="A70" s="163"/>
      <c r="B70" s="17"/>
      <c r="C70" s="17"/>
      <c r="D70" s="17"/>
      <c r="E70" s="463"/>
      <c r="G70" s="463"/>
      <c r="H70" s="17"/>
    </row>
    <row r="71" spans="1:8" x14ac:dyDescent="0.25">
      <c r="A71" s="163"/>
      <c r="B71" s="17"/>
      <c r="C71" s="17"/>
      <c r="D71" s="17"/>
      <c r="E71" s="463"/>
      <c r="G71" s="463"/>
      <c r="H71" s="17"/>
    </row>
    <row r="72" spans="1:8" x14ac:dyDescent="0.25">
      <c r="A72" s="163"/>
      <c r="B72" s="17"/>
      <c r="C72" s="17"/>
      <c r="D72" s="17"/>
      <c r="E72" s="463"/>
      <c r="G72" s="463"/>
      <c r="H72" s="17"/>
    </row>
    <row r="73" spans="1:8" x14ac:dyDescent="0.25">
      <c r="A73" s="163"/>
      <c r="B73" s="17"/>
      <c r="C73" s="17"/>
      <c r="D73" s="17"/>
      <c r="E73" s="463"/>
      <c r="G73" s="463"/>
      <c r="H73" s="17"/>
    </row>
    <row r="74" spans="1:8" x14ac:dyDescent="0.25">
      <c r="A74" s="163"/>
      <c r="B74" s="17"/>
      <c r="C74" s="17"/>
      <c r="D74" s="17"/>
      <c r="E74" s="463"/>
      <c r="G74" s="463"/>
      <c r="H74" s="17"/>
    </row>
    <row r="75" spans="1:8" x14ac:dyDescent="0.25">
      <c r="A75" s="163"/>
      <c r="B75" s="17"/>
      <c r="C75" s="17"/>
      <c r="D75" s="17"/>
      <c r="E75" s="463"/>
      <c r="G75" s="463"/>
      <c r="H75" s="17"/>
    </row>
    <row r="76" spans="1:8" x14ac:dyDescent="0.25">
      <c r="A76" s="163"/>
      <c r="B76" s="17"/>
      <c r="C76" s="17"/>
      <c r="D76" s="17"/>
      <c r="E76" s="463"/>
      <c r="G76" s="463"/>
      <c r="H76" s="17"/>
    </row>
    <row r="77" spans="1:8" x14ac:dyDescent="0.25">
      <c r="A77" s="163"/>
      <c r="B77" s="17"/>
      <c r="C77" s="17"/>
      <c r="D77" s="17"/>
      <c r="E77" s="463"/>
      <c r="G77" s="463"/>
      <c r="H77" s="17"/>
    </row>
    <row r="78" spans="1:8" x14ac:dyDescent="0.25">
      <c r="A78" s="163"/>
      <c r="B78" s="17"/>
      <c r="C78" s="17"/>
      <c r="D78" s="17"/>
      <c r="E78" s="463"/>
      <c r="G78" s="463"/>
      <c r="H78" s="17"/>
    </row>
    <row r="79" spans="1:8" x14ac:dyDescent="0.25">
      <c r="A79" s="163"/>
      <c r="B79" s="17"/>
      <c r="C79" s="17"/>
      <c r="D79" s="17"/>
      <c r="E79" s="463"/>
      <c r="G79" s="463"/>
      <c r="H79" s="17"/>
    </row>
    <row r="80" spans="1:8" x14ac:dyDescent="0.25">
      <c r="A80" s="163"/>
      <c r="B80" s="17"/>
      <c r="C80" s="17"/>
      <c r="D80" s="17"/>
      <c r="E80" s="463"/>
      <c r="G80" s="463"/>
      <c r="H80" s="17"/>
    </row>
    <row r="81" spans="1:8" x14ac:dyDescent="0.25">
      <c r="A81" s="163"/>
      <c r="B81" s="17"/>
      <c r="C81" s="17"/>
      <c r="D81" s="17"/>
      <c r="E81" s="463"/>
      <c r="G81" s="463"/>
      <c r="H81" s="17"/>
    </row>
    <row r="82" spans="1:8" x14ac:dyDescent="0.25">
      <c r="A82" s="163"/>
      <c r="B82" s="17"/>
      <c r="C82" s="17"/>
      <c r="D82" s="17"/>
      <c r="E82" s="463"/>
      <c r="G82" s="463"/>
      <c r="H82" s="17"/>
    </row>
    <row r="83" spans="1:8" x14ac:dyDescent="0.25">
      <c r="A83" s="163"/>
      <c r="B83" s="17"/>
      <c r="C83" s="17"/>
      <c r="D83" s="17"/>
      <c r="E83" s="463"/>
      <c r="G83" s="463"/>
      <c r="H83" s="17"/>
    </row>
    <row r="84" spans="1:8" x14ac:dyDescent="0.25">
      <c r="A84" s="163"/>
      <c r="B84" s="17"/>
      <c r="C84" s="17"/>
      <c r="D84" s="17"/>
      <c r="E84" s="463"/>
      <c r="G84" s="463"/>
      <c r="H84" s="17"/>
    </row>
    <row r="85" spans="1:8" x14ac:dyDescent="0.25">
      <c r="A85" s="163"/>
      <c r="B85" s="17"/>
      <c r="C85" s="17"/>
      <c r="D85" s="17"/>
      <c r="E85" s="463"/>
      <c r="G85" s="463"/>
      <c r="H85" s="17"/>
    </row>
    <row r="86" spans="1:8" x14ac:dyDescent="0.25">
      <c r="A86" s="163"/>
      <c r="B86" s="17"/>
      <c r="C86" s="17"/>
      <c r="D86" s="17"/>
      <c r="E86" s="463"/>
      <c r="G86" s="463"/>
      <c r="H86" s="17"/>
    </row>
    <row r="87" spans="1:8" x14ac:dyDescent="0.25">
      <c r="A87" s="163"/>
      <c r="B87" s="17"/>
      <c r="C87" s="17"/>
      <c r="D87" s="17"/>
      <c r="E87" s="463"/>
      <c r="G87" s="463"/>
      <c r="H87" s="17"/>
    </row>
    <row r="88" spans="1:8" x14ac:dyDescent="0.25">
      <c r="A88" s="163"/>
      <c r="B88" s="17"/>
      <c r="C88" s="17"/>
      <c r="D88" s="17"/>
      <c r="E88" s="463"/>
      <c r="G88" s="463"/>
      <c r="H88" s="17"/>
    </row>
    <row r="89" spans="1:8" x14ac:dyDescent="0.25">
      <c r="A89" s="163"/>
      <c r="B89" s="17"/>
      <c r="C89" s="17"/>
      <c r="D89" s="17"/>
      <c r="E89" s="463"/>
      <c r="G89" s="463"/>
      <c r="H89" s="17"/>
    </row>
    <row r="90" spans="1:8" x14ac:dyDescent="0.25">
      <c r="A90" s="163"/>
      <c r="B90" s="17"/>
      <c r="C90" s="17"/>
      <c r="D90" s="17"/>
      <c r="E90" s="463"/>
      <c r="G90" s="463"/>
      <c r="H90" s="17"/>
    </row>
    <row r="91" spans="1:8" x14ac:dyDescent="0.25">
      <c r="A91" s="163"/>
      <c r="B91" s="17"/>
      <c r="C91" s="17"/>
      <c r="D91" s="17"/>
      <c r="E91" s="463"/>
      <c r="G91" s="463"/>
    </row>
    <row r="92" spans="1:8" x14ac:dyDescent="0.25">
      <c r="A92" s="163"/>
      <c r="B92" s="17"/>
      <c r="C92" s="17"/>
      <c r="D92" s="17"/>
      <c r="E92" s="463"/>
      <c r="G92" s="463"/>
    </row>
    <row r="93" spans="1:8" x14ac:dyDescent="0.25">
      <c r="A93" s="163"/>
      <c r="B93" s="17"/>
      <c r="C93" s="17"/>
      <c r="D93" s="17"/>
      <c r="E93" s="463"/>
      <c r="G93" s="463"/>
    </row>
    <row r="94" spans="1:8" x14ac:dyDescent="0.25">
      <c r="A94" s="163"/>
      <c r="B94" s="17"/>
      <c r="C94" s="17"/>
      <c r="D94" s="17"/>
      <c r="E94" s="463"/>
      <c r="G94" s="463"/>
    </row>
    <row r="95" spans="1:8" x14ac:dyDescent="0.25">
      <c r="A95" s="163"/>
      <c r="B95" s="17"/>
      <c r="C95" s="17"/>
      <c r="D95" s="17"/>
      <c r="E95" s="463"/>
      <c r="G95" s="463"/>
    </row>
    <row r="96" spans="1:8" x14ac:dyDescent="0.25">
      <c r="A96" s="163"/>
      <c r="B96" s="17"/>
      <c r="C96" s="17"/>
      <c r="D96" s="17"/>
      <c r="E96" s="463"/>
      <c r="G96" s="463"/>
    </row>
    <row r="97" spans="1:8" x14ac:dyDescent="0.25">
      <c r="A97" s="163"/>
      <c r="B97" s="17"/>
      <c r="C97" s="17"/>
      <c r="D97" s="17"/>
      <c r="E97" s="463"/>
      <c r="G97" s="463"/>
    </row>
    <row r="98" spans="1:8" x14ac:dyDescent="0.25">
      <c r="A98" s="163"/>
      <c r="B98" s="17"/>
      <c r="C98" s="17"/>
      <c r="D98" s="17"/>
      <c r="E98" s="463"/>
      <c r="G98" s="463"/>
    </row>
    <row r="99" spans="1:8" x14ac:dyDescent="0.25">
      <c r="A99" s="163"/>
      <c r="B99" s="17"/>
      <c r="C99" s="17"/>
      <c r="D99" s="17"/>
      <c r="E99" s="463"/>
      <c r="G99" s="463"/>
    </row>
    <row r="100" spans="1:8" x14ac:dyDescent="0.25">
      <c r="A100" s="163"/>
      <c r="B100" s="17"/>
      <c r="C100" s="17"/>
      <c r="D100" s="17"/>
      <c r="E100" s="463"/>
      <c r="G100" s="463"/>
    </row>
    <row r="101" spans="1:8" x14ac:dyDescent="0.25">
      <c r="A101" s="163"/>
      <c r="B101" s="17"/>
      <c r="C101" s="17"/>
      <c r="D101" s="17"/>
      <c r="E101" s="463"/>
      <c r="G101" s="463"/>
    </row>
    <row r="102" spans="1:8" x14ac:dyDescent="0.25">
      <c r="A102" s="163"/>
      <c r="B102" s="17"/>
      <c r="C102" s="17"/>
      <c r="D102" s="17"/>
      <c r="E102" s="463"/>
      <c r="G102" s="463"/>
    </row>
    <row r="103" spans="1:8" x14ac:dyDescent="0.25">
      <c r="A103" s="163"/>
      <c r="B103" s="17"/>
      <c r="C103" s="17"/>
      <c r="D103" s="17"/>
      <c r="E103" s="463"/>
      <c r="G103" s="463"/>
    </row>
    <row r="104" spans="1:8" x14ac:dyDescent="0.25">
      <c r="A104" s="163"/>
      <c r="B104" s="17"/>
      <c r="C104" s="17"/>
      <c r="D104" s="17"/>
      <c r="E104" s="463"/>
      <c r="G104" s="463"/>
    </row>
    <row r="105" spans="1:8" ht="15.75" thickBot="1" x14ac:dyDescent="0.3">
      <c r="A105" s="163" t="s">
        <v>332</v>
      </c>
      <c r="B105" s="3"/>
      <c r="C105" s="164"/>
      <c r="D105" s="156"/>
      <c r="E105" s="465"/>
      <c r="G105" s="465"/>
    </row>
    <row r="106" spans="1:8" x14ac:dyDescent="0.25">
      <c r="A106" s="466" t="s">
        <v>332</v>
      </c>
      <c r="B106" s="467"/>
      <c r="C106" s="468"/>
      <c r="D106" s="469"/>
      <c r="E106" s="465"/>
      <c r="G106" s="465"/>
    </row>
    <row r="107" spans="1:8" x14ac:dyDescent="0.25">
      <c r="A107" s="470" t="s">
        <v>332</v>
      </c>
      <c r="B107" s="471" t="s">
        <v>168</v>
      </c>
      <c r="C107" s="472" t="str">
        <f>C4</f>
        <v/>
      </c>
      <c r="D107" s="473">
        <f ca="1">TODAY()</f>
        <v>44217</v>
      </c>
      <c r="E107" s="474"/>
      <c r="F107" s="475"/>
      <c r="G107" s="474"/>
      <c r="H107" s="475"/>
    </row>
    <row r="108" spans="1:8" x14ac:dyDescent="0.25">
      <c r="A108" s="470" t="s">
        <v>332</v>
      </c>
      <c r="B108" s="471" t="s">
        <v>169</v>
      </c>
      <c r="C108" s="476" t="e">
        <f>IF(#REF!&lt;&gt;0,#REF!,"")</f>
        <v>#REF!</v>
      </c>
      <c r="D108" s="477"/>
      <c r="E108" s="474"/>
      <c r="F108" s="475"/>
      <c r="G108" s="474"/>
      <c r="H108" s="475"/>
    </row>
    <row r="109" spans="1:8" x14ac:dyDescent="0.25">
      <c r="A109" s="478" t="s">
        <v>332</v>
      </c>
      <c r="B109" s="479"/>
      <c r="C109" s="480"/>
      <c r="D109" s="481"/>
      <c r="E109" s="465"/>
      <c r="G109" s="465"/>
    </row>
    <row r="110" spans="1:8" x14ac:dyDescent="0.25">
      <c r="A110" s="478" t="s">
        <v>332</v>
      </c>
      <c r="B110" s="479"/>
      <c r="C110" s="480"/>
      <c r="D110" s="481"/>
      <c r="E110" s="465"/>
      <c r="G110" s="465"/>
    </row>
    <row r="111" spans="1:8" x14ac:dyDescent="0.25">
      <c r="A111" s="478" t="s">
        <v>332</v>
      </c>
      <c r="B111" s="479"/>
      <c r="C111" s="480"/>
      <c r="D111" s="481"/>
      <c r="E111" s="465"/>
      <c r="G111" s="465"/>
    </row>
    <row r="112" spans="1:8" ht="15.75" thickBot="1" x14ac:dyDescent="0.3">
      <c r="A112" s="482" t="s">
        <v>332</v>
      </c>
      <c r="B112" s="483"/>
      <c r="C112" s="228"/>
      <c r="D112" s="484"/>
      <c r="E112" s="465"/>
      <c r="G112" s="465"/>
    </row>
  </sheetData>
  <sheetProtection algorithmName="SHA-512" hashValue="B7Wnt+oxLtkm8GvTw467l/aU88OaRtOPNhk/TzsZksXf2WFF4tehm45YStBFnF9zYht06EV2Q8Iaa7D3oIG2tg==" saltValue="JgnAxsHVv6OfmF7n0+nbDw==" spinCount="100000" sheet="1" autoFilter="0"/>
  <autoFilter ref="A6:H6" xr:uid="{00000000-0009-0000-0000-000004000000}"/>
  <mergeCells count="77">
    <mergeCell ref="F33:H33"/>
    <mergeCell ref="F28:H28"/>
    <mergeCell ref="F29:H29"/>
    <mergeCell ref="F30:H30"/>
    <mergeCell ref="F31:H31"/>
    <mergeCell ref="F32:H32"/>
    <mergeCell ref="F9:H9"/>
    <mergeCell ref="F8:H8"/>
    <mergeCell ref="F10:H10"/>
    <mergeCell ref="F17:H17"/>
    <mergeCell ref="F27:H27"/>
    <mergeCell ref="F11:H11"/>
    <mergeCell ref="F12:H12"/>
    <mergeCell ref="F13:H13"/>
    <mergeCell ref="F14:H14"/>
    <mergeCell ref="C34:D34"/>
    <mergeCell ref="C35:D35"/>
    <mergeCell ref="C26:D26"/>
    <mergeCell ref="C33:D33"/>
    <mergeCell ref="C16:D16"/>
    <mergeCell ref="B17:D17"/>
    <mergeCell ref="C19:D19"/>
    <mergeCell ref="C20:D20"/>
    <mergeCell ref="C25:D25"/>
    <mergeCell ref="C32:D32"/>
    <mergeCell ref="B27:D27"/>
    <mergeCell ref="C28:D28"/>
    <mergeCell ref="C29:D29"/>
    <mergeCell ref="C30:D30"/>
    <mergeCell ref="C31:D31"/>
    <mergeCell ref="C12:D12"/>
    <mergeCell ref="C21:D21"/>
    <mergeCell ref="C22:D22"/>
    <mergeCell ref="C23:D23"/>
    <mergeCell ref="C24:D24"/>
    <mergeCell ref="C58:E58"/>
    <mergeCell ref="C59:E59"/>
    <mergeCell ref="B1:E1"/>
    <mergeCell ref="G1:H1"/>
    <mergeCell ref="C2:H2"/>
    <mergeCell ref="C3:H3"/>
    <mergeCell ref="C4:D4"/>
    <mergeCell ref="E7:H7"/>
    <mergeCell ref="B7:D7"/>
    <mergeCell ref="C13:D13"/>
    <mergeCell ref="C15:D15"/>
    <mergeCell ref="C14:D14"/>
    <mergeCell ref="B8:D8"/>
    <mergeCell ref="B9:D9"/>
    <mergeCell ref="C10:D10"/>
    <mergeCell ref="C11:D11"/>
    <mergeCell ref="C53:E53"/>
    <mergeCell ref="C54:E54"/>
    <mergeCell ref="C55:E55"/>
    <mergeCell ref="C56:E56"/>
    <mergeCell ref="C57:E57"/>
    <mergeCell ref="B48:E48"/>
    <mergeCell ref="B49:E49"/>
    <mergeCell ref="B50:E50"/>
    <mergeCell ref="C51:E51"/>
    <mergeCell ref="C52:E52"/>
    <mergeCell ref="C46:E46"/>
    <mergeCell ref="C47:E47"/>
    <mergeCell ref="F15:H15"/>
    <mergeCell ref="F16:H16"/>
    <mergeCell ref="F34:H34"/>
    <mergeCell ref="F35:H35"/>
    <mergeCell ref="C41:E41"/>
    <mergeCell ref="C42:E42"/>
    <mergeCell ref="C43:E43"/>
    <mergeCell ref="C44:E44"/>
    <mergeCell ref="C45:E45"/>
    <mergeCell ref="B36:E36"/>
    <mergeCell ref="B37:E37"/>
    <mergeCell ref="B38:E38"/>
    <mergeCell ref="C39:E39"/>
    <mergeCell ref="C40:E40"/>
  </mergeCells>
  <dataValidations disablePrompts="1" count="1">
    <dataValidation allowBlank="1" showInputMessage="1" showErrorMessage="1" promptTitle="Introduzca una cantidad" prompt="Valor previsto" sqref="F51:H59 F39:H47" xr:uid="{00000000-0002-0000-0400-000000000000}"/>
  </dataValidations>
  <pageMargins left="0.35433070866141736" right="0.15748031496062992" top="1.1417322834645669" bottom="0.78740157480314965" header="0.31496062992125984" footer="0.31496062992125984"/>
  <pageSetup paperSize="9" scale="73" fitToHeight="0" orientation="portrait" r:id="rId1"/>
  <headerFooter scaleWithDoc="0">
    <oddHeader>&amp;L&amp;G</oddHeader>
    <oddFooter>&amp;L&amp;"Eras Demi ITC,Normal"&amp;8&amp;G&amp;R&amp;8&amp;P/&amp;N</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B050"/>
    <pageSetUpPr fitToPage="1"/>
  </sheetPr>
  <dimension ref="A1:N80"/>
  <sheetViews>
    <sheetView topLeftCell="B1" zoomScaleNormal="100" zoomScaleSheetLayoutView="110" workbookViewId="0">
      <selection activeCell="F36" sqref="F36"/>
    </sheetView>
  </sheetViews>
  <sheetFormatPr baseColWidth="10" defaultColWidth="11.42578125" defaultRowHeight="15" x14ac:dyDescent="0.25"/>
  <cols>
    <col min="1" max="1" width="7.5703125" style="517" hidden="1" customWidth="1"/>
    <col min="2" max="2" width="9.28515625" style="486" customWidth="1"/>
    <col min="3" max="3" width="20" style="487" customWidth="1"/>
    <col min="4" max="4" width="26.7109375" style="488" customWidth="1"/>
    <col min="5" max="5" width="10.7109375" style="489" customWidth="1"/>
    <col min="6" max="7" width="10.7109375" style="464" customWidth="1"/>
    <col min="8" max="8" width="10.7109375" style="489" customWidth="1"/>
    <col min="9" max="9" width="12.28515625" style="489" customWidth="1"/>
    <col min="10" max="11" width="10.7109375" style="464" customWidth="1"/>
    <col min="12" max="12" width="12.85546875" style="464" bestFit="1" customWidth="1"/>
    <col min="13" max="16384" width="11.42578125" style="17"/>
  </cols>
  <sheetData>
    <row r="1" spans="1:13" ht="24.75" customHeight="1" thickTop="1" thickBot="1" x14ac:dyDescent="0.4">
      <c r="A1" s="490"/>
      <c r="B1" s="636" t="str">
        <f>"DATOS EMPLEO  "&amp;LEFT(Baremo!C8,8)</f>
        <v xml:space="preserve">DATOS EMPLEO  Linea 3 </v>
      </c>
      <c r="C1" s="636"/>
      <c r="D1" s="636"/>
      <c r="E1" s="636"/>
      <c r="F1" s="636"/>
      <c r="G1" s="636"/>
      <c r="H1" s="636"/>
      <c r="I1" s="765" t="str">
        <f>Baremo!J1</f>
        <v xml:space="preserve">  GDR: JA07  Convocatoria: 2020</v>
      </c>
      <c r="J1" s="765"/>
      <c r="K1" s="765"/>
      <c r="L1" s="765"/>
    </row>
    <row r="2" spans="1:13" ht="16.5" thickTop="1" thickBot="1" x14ac:dyDescent="0.3">
      <c r="A2" s="490"/>
      <c r="B2" s="416" t="str">
        <f>Baremo!B2</f>
        <v>Proyecto:</v>
      </c>
      <c r="C2" s="712" t="str">
        <f>IF(Baremo!C2:I2=0,"",Baremo!C2:I2)</f>
        <v/>
      </c>
      <c r="D2" s="712"/>
      <c r="E2" s="712"/>
      <c r="F2" s="712"/>
      <c r="G2" s="712"/>
      <c r="H2" s="712"/>
      <c r="I2" s="712"/>
      <c r="J2" s="712"/>
      <c r="K2" s="712"/>
      <c r="L2" s="712"/>
    </row>
    <row r="3" spans="1:13" ht="15.75" customHeight="1" thickTop="1" thickBot="1" x14ac:dyDescent="0.3">
      <c r="A3" s="490"/>
      <c r="B3" s="168" t="str">
        <f>Baremo!B3</f>
        <v>Solicitante:</v>
      </c>
      <c r="C3" s="646" t="str">
        <f>IF(Baremo!C3:I3=0,"",Baremo!C3:I3)</f>
        <v/>
      </c>
      <c r="D3" s="646"/>
      <c r="E3" s="646"/>
      <c r="F3" s="646"/>
      <c r="G3" s="646"/>
      <c r="H3" s="646"/>
      <c r="I3" s="646"/>
      <c r="J3" s="646"/>
      <c r="K3" s="646"/>
      <c r="L3" s="646"/>
    </row>
    <row r="4" spans="1:13" ht="16.5" thickTop="1" thickBot="1" x14ac:dyDescent="0.3">
      <c r="A4" s="490"/>
      <c r="B4" s="168" t="str">
        <f>Baremo!B4</f>
        <v>Municipio:</v>
      </c>
      <c r="C4" s="646" t="str">
        <f>IF(Baremo!C4:I4=0,"",Baremo!C4:I4)</f>
        <v/>
      </c>
      <c r="D4" s="646"/>
      <c r="E4" s="171"/>
      <c r="F4" s="172"/>
      <c r="G4" s="172"/>
      <c r="H4" s="171"/>
      <c r="I4" s="171"/>
      <c r="J4" s="172"/>
      <c r="K4" s="172"/>
      <c r="L4" s="172"/>
    </row>
    <row r="5" spans="1:13" ht="16.5" thickTop="1" thickBot="1" x14ac:dyDescent="0.3">
      <c r="A5" s="490"/>
      <c r="B5" s="168" t="str">
        <f>Baremo!B5</f>
        <v>Fecha</v>
      </c>
      <c r="C5" s="173">
        <f>IF(Baremo!C5:I5=0,"",Baremo!C5:I5)</f>
        <v>44136</v>
      </c>
      <c r="D5" s="174"/>
      <c r="E5" s="175"/>
      <c r="F5" s="417"/>
      <c r="G5" s="417"/>
      <c r="H5" s="175"/>
      <c r="I5" s="175"/>
      <c r="J5" s="417"/>
      <c r="K5" s="417"/>
      <c r="L5" s="417"/>
    </row>
    <row r="6" spans="1:13" ht="9" customHeight="1" thickTop="1" x14ac:dyDescent="0.25">
      <c r="A6" s="302" t="s">
        <v>339</v>
      </c>
      <c r="B6" s="372"/>
      <c r="C6" s="418"/>
      <c r="D6" s="418"/>
      <c r="E6" s="418"/>
      <c r="F6" s="418"/>
      <c r="G6" s="418"/>
      <c r="H6" s="418"/>
      <c r="I6" s="418"/>
      <c r="J6" s="418"/>
      <c r="K6" s="418"/>
      <c r="L6" s="418"/>
    </row>
    <row r="7" spans="1:13" s="493" customFormat="1" ht="10.5" customHeight="1" x14ac:dyDescent="0.25">
      <c r="A7" s="491" t="s">
        <v>501</v>
      </c>
      <c r="B7" s="784" t="s">
        <v>344</v>
      </c>
      <c r="C7" s="785"/>
      <c r="D7" s="785"/>
      <c r="E7" s="785"/>
      <c r="F7" s="785"/>
      <c r="G7" s="785"/>
      <c r="H7" s="785"/>
      <c r="I7" s="785"/>
      <c r="J7" s="785"/>
      <c r="K7" s="785"/>
      <c r="L7" s="785"/>
      <c r="M7" s="492"/>
    </row>
    <row r="8" spans="1:13" s="493" customFormat="1" ht="10.5" customHeight="1" x14ac:dyDescent="0.25">
      <c r="A8" s="491" t="s">
        <v>501</v>
      </c>
      <c r="B8" s="784" t="s">
        <v>491</v>
      </c>
      <c r="C8" s="785"/>
      <c r="D8" s="785"/>
      <c r="E8" s="785"/>
      <c r="F8" s="785"/>
      <c r="G8" s="785"/>
      <c r="H8" s="785"/>
      <c r="I8" s="785"/>
      <c r="J8" s="785"/>
      <c r="K8" s="785"/>
      <c r="L8" s="785"/>
      <c r="M8" s="492"/>
    </row>
    <row r="9" spans="1:13" s="493" customFormat="1" ht="10.5" customHeight="1" thickBot="1" x14ac:dyDescent="0.3">
      <c r="A9" s="491" t="s">
        <v>501</v>
      </c>
      <c r="B9" s="784" t="s">
        <v>492</v>
      </c>
      <c r="C9" s="785"/>
      <c r="D9" s="785"/>
      <c r="E9" s="785"/>
      <c r="F9" s="785"/>
      <c r="G9" s="785"/>
      <c r="H9" s="785"/>
      <c r="I9" s="785"/>
      <c r="J9" s="785"/>
      <c r="K9" s="785"/>
      <c r="L9" s="785"/>
      <c r="M9" s="492"/>
    </row>
    <row r="10" spans="1:13" ht="16.5" thickBot="1" x14ac:dyDescent="0.3">
      <c r="A10" s="306" t="s">
        <v>490</v>
      </c>
      <c r="B10" s="736" t="s">
        <v>484</v>
      </c>
      <c r="C10" s="737"/>
      <c r="D10" s="737"/>
      <c r="E10" s="494">
        <f>YEAR(Baremo!C5)</f>
        <v>2020</v>
      </c>
      <c r="F10" s="494"/>
      <c r="G10" s="494"/>
      <c r="H10" s="494"/>
      <c r="I10" s="494"/>
      <c r="J10" s="494"/>
      <c r="K10" s="494"/>
      <c r="L10" s="495"/>
    </row>
    <row r="11" spans="1:13" ht="15" customHeight="1" thickBot="1" x14ac:dyDescent="0.3">
      <c r="A11" s="306" t="s">
        <v>490</v>
      </c>
      <c r="B11" s="768"/>
      <c r="C11" s="769"/>
      <c r="D11" s="769"/>
      <c r="E11" s="786" t="s">
        <v>479</v>
      </c>
      <c r="F11" s="787"/>
      <c r="G11" s="788" t="s">
        <v>480</v>
      </c>
      <c r="H11" s="789"/>
      <c r="I11" s="778" t="s">
        <v>478</v>
      </c>
      <c r="J11" s="773" t="s">
        <v>481</v>
      </c>
      <c r="K11" s="770" t="s">
        <v>519</v>
      </c>
      <c r="L11" s="772" t="s">
        <v>483</v>
      </c>
    </row>
    <row r="12" spans="1:13" s="96" customFormat="1" ht="23.25" customHeight="1" thickBot="1" x14ac:dyDescent="0.3">
      <c r="A12" s="316" t="s">
        <v>490</v>
      </c>
      <c r="B12" s="714"/>
      <c r="C12" s="715"/>
      <c r="D12" s="715"/>
      <c r="E12" s="496" t="s">
        <v>485</v>
      </c>
      <c r="F12" s="496" t="s">
        <v>482</v>
      </c>
      <c r="G12" s="497" t="str">
        <f>E12</f>
        <v>&lt;35 años</v>
      </c>
      <c r="H12" s="497" t="str">
        <f>F12</f>
        <v>&gt; de 35 Años</v>
      </c>
      <c r="I12" s="779"/>
      <c r="J12" s="774"/>
      <c r="K12" s="771"/>
      <c r="L12" s="772"/>
    </row>
    <row r="13" spans="1:13" s="96" customFormat="1" ht="15" customHeight="1" thickBot="1" x14ac:dyDescent="0.3">
      <c r="A13" s="316" t="s">
        <v>490</v>
      </c>
      <c r="B13" s="696" t="s">
        <v>474</v>
      </c>
      <c r="C13" s="697"/>
      <c r="D13" s="697"/>
      <c r="E13" s="498">
        <f t="shared" ref="E13:L13" si="0">E14+E15</f>
        <v>0</v>
      </c>
      <c r="F13" s="499">
        <f t="shared" si="0"/>
        <v>0</v>
      </c>
      <c r="G13" s="498">
        <f t="shared" si="0"/>
        <v>0</v>
      </c>
      <c r="H13" s="498">
        <f t="shared" si="0"/>
        <v>0</v>
      </c>
      <c r="I13" s="500">
        <f>I14+I15</f>
        <v>0</v>
      </c>
      <c r="J13" s="498">
        <f t="shared" si="0"/>
        <v>0</v>
      </c>
      <c r="K13" s="498">
        <f t="shared" si="0"/>
        <v>0</v>
      </c>
      <c r="L13" s="501">
        <f t="shared" si="0"/>
        <v>0</v>
      </c>
    </row>
    <row r="14" spans="1:13" s="2" customFormat="1" ht="15.75" customHeight="1" thickBot="1" x14ac:dyDescent="0.25">
      <c r="A14" s="321" t="s">
        <v>490</v>
      </c>
      <c r="B14" s="780" t="s">
        <v>475</v>
      </c>
      <c r="C14" s="781"/>
      <c r="D14" s="502"/>
      <c r="E14" s="503"/>
      <c r="F14" s="503"/>
      <c r="G14" s="503"/>
      <c r="H14" s="503"/>
      <c r="I14" s="504">
        <f>SUM(E14:H14)</f>
        <v>0</v>
      </c>
      <c r="J14" s="503"/>
      <c r="K14" s="503"/>
      <c r="L14" s="505"/>
    </row>
    <row r="15" spans="1:13" s="2" customFormat="1" ht="15.75" customHeight="1" thickBot="1" x14ac:dyDescent="0.25">
      <c r="A15" s="327" t="s">
        <v>490</v>
      </c>
      <c r="B15" s="775" t="s">
        <v>476</v>
      </c>
      <c r="C15" s="776"/>
      <c r="D15" s="777"/>
      <c r="E15" s="506">
        <f t="shared" ref="E15:L15" si="1">E16+E19</f>
        <v>0</v>
      </c>
      <c r="F15" s="506">
        <f t="shared" si="1"/>
        <v>0</v>
      </c>
      <c r="G15" s="506">
        <f t="shared" si="1"/>
        <v>0</v>
      </c>
      <c r="H15" s="506">
        <f t="shared" si="1"/>
        <v>0</v>
      </c>
      <c r="I15" s="507">
        <f>I16+I19</f>
        <v>0</v>
      </c>
      <c r="J15" s="506">
        <f t="shared" si="1"/>
        <v>0</v>
      </c>
      <c r="K15" s="506">
        <f t="shared" si="1"/>
        <v>0</v>
      </c>
      <c r="L15" s="508">
        <f t="shared" si="1"/>
        <v>0</v>
      </c>
    </row>
    <row r="16" spans="1:13" s="2" customFormat="1" ht="15.75" customHeight="1" thickBot="1" x14ac:dyDescent="0.25">
      <c r="A16" s="327" t="s">
        <v>490</v>
      </c>
      <c r="B16" s="790" t="s">
        <v>487</v>
      </c>
      <c r="C16" s="791"/>
      <c r="D16" s="509"/>
      <c r="E16" s="325">
        <f t="shared" ref="E16:L16" si="2">SUM(E17:E18)</f>
        <v>0</v>
      </c>
      <c r="F16" s="325">
        <f t="shared" si="2"/>
        <v>0</v>
      </c>
      <c r="G16" s="325">
        <f t="shared" si="2"/>
        <v>0</v>
      </c>
      <c r="H16" s="325">
        <f t="shared" si="2"/>
        <v>0</v>
      </c>
      <c r="I16" s="510">
        <f>SUM(I17:I18)</f>
        <v>0</v>
      </c>
      <c r="J16" s="325">
        <f t="shared" si="2"/>
        <v>0</v>
      </c>
      <c r="K16" s="325">
        <f t="shared" si="2"/>
        <v>0</v>
      </c>
      <c r="L16" s="511">
        <f t="shared" si="2"/>
        <v>0</v>
      </c>
    </row>
    <row r="17" spans="1:14" s="2" customFormat="1" ht="15.75" customHeight="1" thickBot="1" x14ac:dyDescent="0.25">
      <c r="A17" s="327" t="s">
        <v>490</v>
      </c>
      <c r="B17" s="328"/>
      <c r="C17" s="766" t="s">
        <v>486</v>
      </c>
      <c r="D17" s="767"/>
      <c r="E17" s="323"/>
      <c r="F17" s="323"/>
      <c r="G17" s="323"/>
      <c r="H17" s="323"/>
      <c r="I17" s="512">
        <f>SUM(E17:H17)</f>
        <v>0</v>
      </c>
      <c r="J17" s="323"/>
      <c r="K17" s="323"/>
      <c r="L17" s="456"/>
    </row>
    <row r="18" spans="1:14" s="2" customFormat="1" ht="15.75" customHeight="1" thickBot="1" x14ac:dyDescent="0.25">
      <c r="A18" s="327" t="s">
        <v>490</v>
      </c>
      <c r="B18" s="328"/>
      <c r="C18" s="766" t="s">
        <v>570</v>
      </c>
      <c r="D18" s="767"/>
      <c r="E18" s="323"/>
      <c r="F18" s="323"/>
      <c r="G18" s="323"/>
      <c r="H18" s="323"/>
      <c r="I18" s="512">
        <f>SUM(E18:H18)</f>
        <v>0</v>
      </c>
      <c r="J18" s="323"/>
      <c r="K18" s="323"/>
      <c r="L18" s="456"/>
    </row>
    <row r="19" spans="1:14" s="2" customFormat="1" ht="15.75" customHeight="1" thickBot="1" x14ac:dyDescent="0.25">
      <c r="A19" s="327" t="s">
        <v>490</v>
      </c>
      <c r="B19" s="790" t="s">
        <v>488</v>
      </c>
      <c r="C19" s="791"/>
      <c r="D19" s="792"/>
      <c r="E19" s="325">
        <f t="shared" ref="E19:L19" si="3">SUM(E20:E21)</f>
        <v>0</v>
      </c>
      <c r="F19" s="325">
        <f t="shared" si="3"/>
        <v>0</v>
      </c>
      <c r="G19" s="325">
        <f t="shared" si="3"/>
        <v>0</v>
      </c>
      <c r="H19" s="325">
        <f t="shared" si="3"/>
        <v>0</v>
      </c>
      <c r="I19" s="510">
        <f>SUM(E19:H19)</f>
        <v>0</v>
      </c>
      <c r="J19" s="325">
        <f t="shared" si="3"/>
        <v>0</v>
      </c>
      <c r="K19" s="325">
        <f t="shared" si="3"/>
        <v>0</v>
      </c>
      <c r="L19" s="511">
        <f t="shared" si="3"/>
        <v>0</v>
      </c>
    </row>
    <row r="20" spans="1:14" s="2" customFormat="1" ht="15.75" customHeight="1" thickBot="1" x14ac:dyDescent="0.25">
      <c r="A20" s="327" t="s">
        <v>490</v>
      </c>
      <c r="B20" s="328"/>
      <c r="C20" s="766" t="s">
        <v>486</v>
      </c>
      <c r="D20" s="767"/>
      <c r="E20" s="323"/>
      <c r="F20" s="323"/>
      <c r="G20" s="323"/>
      <c r="H20" s="323"/>
      <c r="I20" s="512">
        <f>SUM(E20:H20)</f>
        <v>0</v>
      </c>
      <c r="J20" s="323"/>
      <c r="K20" s="323"/>
      <c r="L20" s="456"/>
    </row>
    <row r="21" spans="1:14" s="2" customFormat="1" ht="15.75" customHeight="1" thickBot="1" x14ac:dyDescent="0.25">
      <c r="A21" s="327" t="s">
        <v>490</v>
      </c>
      <c r="B21" s="328"/>
      <c r="C21" s="766" t="s">
        <v>570</v>
      </c>
      <c r="D21" s="767"/>
      <c r="E21" s="323"/>
      <c r="F21" s="323"/>
      <c r="G21" s="323"/>
      <c r="H21" s="323"/>
      <c r="I21" s="512">
        <f>SUM(E21:H21)</f>
        <v>0</v>
      </c>
      <c r="J21" s="323"/>
      <c r="K21" s="323"/>
      <c r="L21" s="456"/>
    </row>
    <row r="22" spans="1:14" s="96" customFormat="1" ht="15.75" thickBot="1" x14ac:dyDescent="0.3">
      <c r="A22" s="316" t="s">
        <v>490</v>
      </c>
      <c r="B22" s="696" t="s">
        <v>477</v>
      </c>
      <c r="C22" s="697"/>
      <c r="D22" s="697"/>
      <c r="E22" s="620">
        <f>SUM(E23:E24)</f>
        <v>0</v>
      </c>
      <c r="F22" s="499">
        <f t="shared" ref="F22:L22" si="4">SUM(F23:F24)</f>
        <v>0</v>
      </c>
      <c r="G22" s="620">
        <f t="shared" si="4"/>
        <v>0</v>
      </c>
      <c r="H22" s="620">
        <f t="shared" si="4"/>
        <v>0</v>
      </c>
      <c r="I22" s="620">
        <f>SUM(I23:I24)</f>
        <v>0</v>
      </c>
      <c r="J22" s="498">
        <f t="shared" si="4"/>
        <v>0</v>
      </c>
      <c r="K22" s="498">
        <f t="shared" si="4"/>
        <v>0</v>
      </c>
      <c r="L22" s="513">
        <f t="shared" si="4"/>
        <v>0</v>
      </c>
    </row>
    <row r="23" spans="1:14" s="2" customFormat="1" ht="15.75" customHeight="1" thickBot="1" x14ac:dyDescent="0.25">
      <c r="A23" s="321" t="s">
        <v>490</v>
      </c>
      <c r="B23" s="780" t="s">
        <v>475</v>
      </c>
      <c r="C23" s="781"/>
      <c r="D23" s="502"/>
      <c r="E23" s="503"/>
      <c r="F23" s="503"/>
      <c r="G23" s="503"/>
      <c r="H23" s="503"/>
      <c r="I23" s="504">
        <f>SUM(E23:H23)</f>
        <v>0</v>
      </c>
      <c r="J23" s="503"/>
      <c r="K23" s="503"/>
      <c r="L23" s="505"/>
    </row>
    <row r="24" spans="1:14" s="2" customFormat="1" ht="15" customHeight="1" thickBot="1" x14ac:dyDescent="0.25">
      <c r="A24" s="327" t="s">
        <v>490</v>
      </c>
      <c r="B24" s="775" t="s">
        <v>476</v>
      </c>
      <c r="C24" s="776"/>
      <c r="D24" s="777"/>
      <c r="E24" s="621">
        <f t="shared" ref="E24:L24" si="5">E25+E28</f>
        <v>0</v>
      </c>
      <c r="F24" s="506">
        <f t="shared" si="5"/>
        <v>0</v>
      </c>
      <c r="G24" s="621">
        <f t="shared" si="5"/>
        <v>0</v>
      </c>
      <c r="H24" s="621">
        <f t="shared" si="5"/>
        <v>0</v>
      </c>
      <c r="I24" s="622">
        <f>I25+I28</f>
        <v>0</v>
      </c>
      <c r="J24" s="506">
        <f t="shared" si="5"/>
        <v>0</v>
      </c>
      <c r="K24" s="506">
        <f t="shared" si="5"/>
        <v>0</v>
      </c>
      <c r="L24" s="508">
        <f t="shared" si="5"/>
        <v>0</v>
      </c>
    </row>
    <row r="25" spans="1:14" s="2" customFormat="1" ht="15.75" customHeight="1" thickBot="1" x14ac:dyDescent="0.25">
      <c r="A25" s="327" t="s">
        <v>490</v>
      </c>
      <c r="B25" s="790" t="s">
        <v>487</v>
      </c>
      <c r="C25" s="791"/>
      <c r="D25" s="509"/>
      <c r="E25" s="325">
        <f t="shared" ref="E25:L25" si="6">SUM(E26:E27)</f>
        <v>0</v>
      </c>
      <c r="F25" s="325">
        <f t="shared" si="6"/>
        <v>0</v>
      </c>
      <c r="G25" s="325">
        <f t="shared" si="6"/>
        <v>0</v>
      </c>
      <c r="H25" s="325">
        <f t="shared" si="6"/>
        <v>0</v>
      </c>
      <c r="I25" s="510">
        <f>SUM(I26:I27)</f>
        <v>0</v>
      </c>
      <c r="J25" s="325">
        <f t="shared" si="6"/>
        <v>0</v>
      </c>
      <c r="K25" s="325">
        <f t="shared" si="6"/>
        <v>0</v>
      </c>
      <c r="L25" s="511">
        <f t="shared" si="6"/>
        <v>0</v>
      </c>
    </row>
    <row r="26" spans="1:14" s="2" customFormat="1" ht="15.75" customHeight="1" thickBot="1" x14ac:dyDescent="0.25">
      <c r="A26" s="327" t="s">
        <v>490</v>
      </c>
      <c r="B26" s="328"/>
      <c r="C26" s="766" t="s">
        <v>486</v>
      </c>
      <c r="D26" s="767"/>
      <c r="E26" s="514"/>
      <c r="F26" s="323"/>
      <c r="G26" s="514"/>
      <c r="H26" s="514"/>
      <c r="I26" s="515">
        <f>SUM(E26:H26)</f>
        <v>0</v>
      </c>
      <c r="J26" s="514"/>
      <c r="K26" s="514"/>
      <c r="L26" s="456"/>
    </row>
    <row r="27" spans="1:14" s="2" customFormat="1" ht="15.75" customHeight="1" thickBot="1" x14ac:dyDescent="0.25">
      <c r="A27" s="327" t="s">
        <v>490</v>
      </c>
      <c r="B27" s="328"/>
      <c r="C27" s="766" t="s">
        <v>570</v>
      </c>
      <c r="D27" s="767"/>
      <c r="E27" s="323"/>
      <c r="F27" s="323"/>
      <c r="G27" s="323"/>
      <c r="H27" s="323"/>
      <c r="I27" s="512">
        <f>SUM(E27:H27)</f>
        <v>0</v>
      </c>
      <c r="J27" s="323"/>
      <c r="K27" s="323"/>
      <c r="L27" s="456"/>
    </row>
    <row r="28" spans="1:14" s="2" customFormat="1" ht="15.75" customHeight="1" thickBot="1" x14ac:dyDescent="0.25">
      <c r="A28" s="327" t="s">
        <v>490</v>
      </c>
      <c r="B28" s="790" t="s">
        <v>488</v>
      </c>
      <c r="C28" s="791"/>
      <c r="D28" s="792"/>
      <c r="E28" s="325">
        <f t="shared" ref="E28:L28" si="7">SUM(E29:E30)</f>
        <v>0</v>
      </c>
      <c r="F28" s="325">
        <f t="shared" si="7"/>
        <v>0</v>
      </c>
      <c r="G28" s="325">
        <f t="shared" si="7"/>
        <v>0</v>
      </c>
      <c r="H28" s="325">
        <f t="shared" si="7"/>
        <v>0</v>
      </c>
      <c r="I28" s="510">
        <f>SUM(E28:H28)</f>
        <v>0</v>
      </c>
      <c r="J28" s="325">
        <f t="shared" si="7"/>
        <v>0</v>
      </c>
      <c r="K28" s="325">
        <f t="shared" si="7"/>
        <v>0</v>
      </c>
      <c r="L28" s="511">
        <f t="shared" si="7"/>
        <v>0</v>
      </c>
    </row>
    <row r="29" spans="1:14" s="2" customFormat="1" ht="15.75" customHeight="1" thickBot="1" x14ac:dyDescent="0.25">
      <c r="A29" s="327" t="s">
        <v>490</v>
      </c>
      <c r="B29" s="328"/>
      <c r="C29" s="766" t="s">
        <v>486</v>
      </c>
      <c r="D29" s="767"/>
      <c r="E29" s="323"/>
      <c r="F29" s="323"/>
      <c r="G29" s="323"/>
      <c r="H29" s="323"/>
      <c r="I29" s="512">
        <f>SUM(E29:H29)</f>
        <v>0</v>
      </c>
      <c r="J29" s="323"/>
      <c r="K29" s="323"/>
      <c r="L29" s="456">
        <v>0</v>
      </c>
    </row>
    <row r="30" spans="1:14" s="2" customFormat="1" ht="15.75" customHeight="1" thickBot="1" x14ac:dyDescent="0.25">
      <c r="A30" s="327" t="s">
        <v>490</v>
      </c>
      <c r="B30" s="328"/>
      <c r="C30" s="766" t="s">
        <v>570</v>
      </c>
      <c r="D30" s="767"/>
      <c r="E30" s="323"/>
      <c r="F30" s="323"/>
      <c r="G30" s="323"/>
      <c r="H30" s="323"/>
      <c r="I30" s="512">
        <f>SUM(E30:H30)</f>
        <v>0</v>
      </c>
      <c r="J30" s="323"/>
      <c r="K30" s="323"/>
      <c r="L30" s="456"/>
    </row>
    <row r="31" spans="1:14" s="96" customFormat="1" ht="15.75" thickBot="1" x14ac:dyDescent="0.3">
      <c r="A31" s="316" t="s">
        <v>490</v>
      </c>
      <c r="B31" s="696" t="s">
        <v>571</v>
      </c>
      <c r="C31" s="697"/>
      <c r="D31" s="697"/>
      <c r="E31" s="499">
        <f t="shared" ref="E31:L31" si="8">SUM(E32:E32)</f>
        <v>0</v>
      </c>
      <c r="F31" s="499">
        <f t="shared" si="8"/>
        <v>0</v>
      </c>
      <c r="G31" s="499">
        <f t="shared" si="8"/>
        <v>0</v>
      </c>
      <c r="H31" s="499">
        <f t="shared" si="8"/>
        <v>0</v>
      </c>
      <c r="I31" s="498">
        <f>I32</f>
        <v>0</v>
      </c>
      <c r="J31" s="499">
        <f t="shared" si="8"/>
        <v>0</v>
      </c>
      <c r="K31" s="499">
        <f t="shared" si="8"/>
        <v>0</v>
      </c>
      <c r="L31" s="501">
        <f t="shared" si="8"/>
        <v>0</v>
      </c>
    </row>
    <row r="32" spans="1:14" s="2" customFormat="1" ht="13.5" thickBot="1" x14ac:dyDescent="0.25">
      <c r="A32" s="327" t="s">
        <v>490</v>
      </c>
      <c r="B32" s="359"/>
      <c r="C32" s="782" t="s">
        <v>489</v>
      </c>
      <c r="D32" s="783"/>
      <c r="E32" s="438"/>
      <c r="F32" s="438"/>
      <c r="G32" s="438"/>
      <c r="H32" s="438"/>
      <c r="I32" s="623">
        <f>SUM(E32:H32)</f>
        <v>0</v>
      </c>
      <c r="J32" s="438"/>
      <c r="K32" s="438"/>
      <c r="L32" s="462"/>
      <c r="N32" s="323"/>
    </row>
    <row r="33" spans="1:9" x14ac:dyDescent="0.25">
      <c r="A33" s="516"/>
      <c r="B33" s="17"/>
      <c r="C33" s="17"/>
      <c r="D33" s="17"/>
      <c r="E33" s="463"/>
      <c r="H33" s="463"/>
      <c r="I33" s="463"/>
    </row>
    <row r="34" spans="1:9" x14ac:dyDescent="0.25">
      <c r="A34" s="516"/>
      <c r="B34" s="17"/>
      <c r="C34" s="17"/>
      <c r="D34" s="17"/>
      <c r="E34" s="463"/>
      <c r="H34" s="463"/>
      <c r="I34" s="463"/>
    </row>
    <row r="35" spans="1:9" x14ac:dyDescent="0.25">
      <c r="A35" s="516"/>
      <c r="B35" s="17"/>
      <c r="C35" s="17"/>
      <c r="D35" s="17"/>
      <c r="E35" s="463"/>
      <c r="H35" s="463"/>
      <c r="I35" s="463"/>
    </row>
    <row r="36" spans="1:9" x14ac:dyDescent="0.25">
      <c r="A36" s="516"/>
      <c r="B36" s="17"/>
      <c r="C36" s="17"/>
      <c r="D36" s="17"/>
      <c r="E36" s="463"/>
      <c r="H36" s="463"/>
      <c r="I36" s="463"/>
    </row>
    <row r="37" spans="1:9" x14ac:dyDescent="0.25">
      <c r="A37" s="516"/>
      <c r="B37" s="17"/>
      <c r="C37" s="17"/>
      <c r="D37" s="17"/>
      <c r="E37" s="463"/>
      <c r="H37" s="463"/>
      <c r="I37" s="463"/>
    </row>
    <row r="38" spans="1:9" x14ac:dyDescent="0.25">
      <c r="A38" s="516"/>
      <c r="B38" s="17"/>
      <c r="C38" s="17"/>
      <c r="D38" s="17"/>
      <c r="E38" s="463"/>
      <c r="H38" s="463"/>
      <c r="I38" s="463"/>
    </row>
    <row r="39" spans="1:9" x14ac:dyDescent="0.25">
      <c r="A39" s="516"/>
      <c r="B39" s="17"/>
      <c r="C39" s="17"/>
      <c r="D39" s="17"/>
      <c r="E39" s="463"/>
      <c r="H39" s="463"/>
      <c r="I39" s="463"/>
    </row>
    <row r="40" spans="1:9" x14ac:dyDescent="0.25">
      <c r="A40" s="516"/>
      <c r="B40" s="17"/>
      <c r="C40" s="17"/>
      <c r="D40" s="17"/>
      <c r="E40" s="463"/>
      <c r="H40" s="463"/>
      <c r="I40" s="463"/>
    </row>
    <row r="41" spans="1:9" x14ac:dyDescent="0.25">
      <c r="A41" s="516"/>
      <c r="B41" s="17"/>
      <c r="C41" s="17"/>
      <c r="D41" s="17"/>
      <c r="E41" s="463"/>
      <c r="H41" s="463"/>
      <c r="I41" s="463"/>
    </row>
    <row r="42" spans="1:9" x14ac:dyDescent="0.25">
      <c r="A42" s="516"/>
      <c r="B42" s="17"/>
      <c r="C42" s="17"/>
      <c r="D42" s="17"/>
      <c r="E42" s="463"/>
      <c r="H42" s="463"/>
      <c r="I42" s="463"/>
    </row>
    <row r="43" spans="1:9" x14ac:dyDescent="0.25">
      <c r="A43" s="516"/>
      <c r="B43" s="17"/>
      <c r="C43" s="17"/>
      <c r="D43" s="17"/>
      <c r="E43" s="463"/>
      <c r="H43" s="463"/>
      <c r="I43" s="463"/>
    </row>
    <row r="44" spans="1:9" x14ac:dyDescent="0.25">
      <c r="A44" s="516"/>
      <c r="B44" s="17"/>
      <c r="C44" s="17"/>
      <c r="D44" s="17"/>
      <c r="E44" s="463"/>
      <c r="H44" s="463"/>
      <c r="I44" s="463"/>
    </row>
    <row r="45" spans="1:9" x14ac:dyDescent="0.25">
      <c r="A45" s="516"/>
      <c r="B45" s="17"/>
      <c r="C45" s="17"/>
      <c r="D45" s="17"/>
      <c r="E45" s="463"/>
      <c r="H45" s="463"/>
      <c r="I45" s="463"/>
    </row>
    <row r="46" spans="1:9" x14ac:dyDescent="0.25">
      <c r="A46" s="516"/>
      <c r="B46" s="17"/>
      <c r="C46" s="17"/>
      <c r="D46" s="17"/>
      <c r="E46" s="463"/>
      <c r="H46" s="463"/>
      <c r="I46" s="463"/>
    </row>
    <row r="47" spans="1:9" x14ac:dyDescent="0.25">
      <c r="A47" s="516"/>
      <c r="B47" s="17"/>
      <c r="C47" s="17"/>
      <c r="D47" s="17"/>
      <c r="E47" s="463"/>
      <c r="H47" s="463"/>
      <c r="I47" s="463"/>
    </row>
    <row r="48" spans="1:9" x14ac:dyDescent="0.25">
      <c r="A48" s="516"/>
      <c r="B48" s="17"/>
      <c r="C48" s="17"/>
      <c r="D48" s="17"/>
      <c r="E48" s="463"/>
      <c r="H48" s="463"/>
      <c r="I48" s="463"/>
    </row>
    <row r="49" spans="1:9" x14ac:dyDescent="0.25">
      <c r="A49" s="516"/>
      <c r="B49" s="17"/>
      <c r="C49" s="17"/>
      <c r="D49" s="17"/>
      <c r="E49" s="463"/>
      <c r="H49" s="463"/>
      <c r="I49" s="463"/>
    </row>
    <row r="50" spans="1:9" x14ac:dyDescent="0.25">
      <c r="A50" s="516"/>
      <c r="B50" s="17"/>
      <c r="C50" s="17"/>
      <c r="D50" s="17"/>
      <c r="E50" s="463"/>
      <c r="H50" s="463"/>
      <c r="I50" s="463"/>
    </row>
    <row r="51" spans="1:9" x14ac:dyDescent="0.25">
      <c r="A51" s="516"/>
      <c r="B51" s="17"/>
      <c r="C51" s="17"/>
      <c r="D51" s="17"/>
      <c r="E51" s="463"/>
      <c r="H51" s="463"/>
      <c r="I51" s="463"/>
    </row>
    <row r="52" spans="1:9" x14ac:dyDescent="0.25">
      <c r="A52" s="516"/>
      <c r="B52" s="17"/>
      <c r="C52" s="17"/>
      <c r="D52" s="17"/>
      <c r="E52" s="463"/>
      <c r="H52" s="463"/>
      <c r="I52" s="463"/>
    </row>
    <row r="53" spans="1:9" x14ac:dyDescent="0.25">
      <c r="A53" s="516"/>
      <c r="B53" s="17"/>
      <c r="C53" s="17"/>
      <c r="D53" s="17"/>
      <c r="E53" s="463"/>
      <c r="H53" s="463"/>
      <c r="I53" s="463"/>
    </row>
    <row r="54" spans="1:9" x14ac:dyDescent="0.25">
      <c r="A54" s="516"/>
      <c r="B54" s="17"/>
      <c r="C54" s="17"/>
      <c r="D54" s="17"/>
      <c r="E54" s="463"/>
      <c r="H54" s="463"/>
      <c r="I54" s="463"/>
    </row>
    <row r="55" spans="1:9" x14ac:dyDescent="0.25">
      <c r="A55" s="516"/>
      <c r="B55" s="17"/>
      <c r="C55" s="17"/>
      <c r="D55" s="17"/>
      <c r="E55" s="463"/>
      <c r="H55" s="463"/>
      <c r="I55" s="463"/>
    </row>
    <row r="56" spans="1:9" x14ac:dyDescent="0.25">
      <c r="A56" s="516"/>
      <c r="B56" s="17"/>
      <c r="C56" s="17"/>
      <c r="D56" s="17"/>
      <c r="E56" s="463"/>
      <c r="H56" s="463"/>
      <c r="I56" s="463"/>
    </row>
    <row r="57" spans="1:9" x14ac:dyDescent="0.25">
      <c r="A57" s="516"/>
      <c r="B57" s="17"/>
      <c r="C57" s="17"/>
      <c r="D57" s="17"/>
      <c r="E57" s="463"/>
      <c r="H57" s="463"/>
      <c r="I57" s="463"/>
    </row>
    <row r="58" spans="1:9" x14ac:dyDescent="0.25">
      <c r="A58" s="516"/>
      <c r="B58" s="17"/>
      <c r="C58" s="17"/>
      <c r="D58" s="17"/>
      <c r="E58" s="463"/>
      <c r="H58" s="463"/>
      <c r="I58" s="463"/>
    </row>
    <row r="59" spans="1:9" x14ac:dyDescent="0.25">
      <c r="A59" s="516"/>
      <c r="B59" s="17"/>
      <c r="C59" s="17"/>
      <c r="D59" s="17"/>
      <c r="E59" s="463"/>
      <c r="H59" s="463"/>
      <c r="I59" s="463"/>
    </row>
    <row r="60" spans="1:9" x14ac:dyDescent="0.25">
      <c r="A60" s="516"/>
      <c r="B60" s="17"/>
      <c r="C60" s="17"/>
      <c r="D60" s="17"/>
      <c r="E60" s="463"/>
      <c r="H60" s="463"/>
      <c r="I60" s="463"/>
    </row>
    <row r="61" spans="1:9" x14ac:dyDescent="0.25">
      <c r="A61" s="516"/>
      <c r="B61" s="17"/>
      <c r="C61" s="17"/>
      <c r="D61" s="17"/>
      <c r="E61" s="463"/>
      <c r="H61" s="463"/>
      <c r="I61" s="463"/>
    </row>
    <row r="62" spans="1:9" x14ac:dyDescent="0.25">
      <c r="A62" s="516"/>
      <c r="B62" s="17"/>
      <c r="C62" s="17"/>
      <c r="D62" s="17"/>
      <c r="E62" s="463"/>
      <c r="H62" s="463"/>
      <c r="I62" s="463"/>
    </row>
    <row r="63" spans="1:9" x14ac:dyDescent="0.25">
      <c r="A63" s="516"/>
      <c r="B63" s="17"/>
      <c r="C63" s="17"/>
      <c r="D63" s="17"/>
      <c r="E63" s="463"/>
      <c r="H63" s="463"/>
      <c r="I63" s="463"/>
    </row>
    <row r="64" spans="1:9" x14ac:dyDescent="0.25">
      <c r="A64" s="516"/>
      <c r="B64" s="17"/>
      <c r="C64" s="17"/>
      <c r="D64" s="17"/>
      <c r="E64" s="463"/>
      <c r="H64" s="463"/>
      <c r="I64" s="463"/>
    </row>
    <row r="65" spans="1:9" x14ac:dyDescent="0.25">
      <c r="A65" s="516"/>
      <c r="B65" s="17"/>
      <c r="C65" s="17"/>
      <c r="D65" s="17"/>
      <c r="E65" s="463"/>
      <c r="H65" s="463"/>
      <c r="I65" s="463"/>
    </row>
    <row r="66" spans="1:9" x14ac:dyDescent="0.25">
      <c r="A66" s="516"/>
      <c r="B66" s="17"/>
      <c r="C66" s="17"/>
      <c r="D66" s="17"/>
      <c r="E66" s="463"/>
      <c r="H66" s="463"/>
      <c r="I66" s="463"/>
    </row>
    <row r="67" spans="1:9" x14ac:dyDescent="0.25">
      <c r="A67" s="516"/>
      <c r="B67" s="17"/>
      <c r="C67" s="17"/>
      <c r="D67" s="17"/>
      <c r="E67" s="463"/>
      <c r="H67" s="463"/>
      <c r="I67" s="463"/>
    </row>
    <row r="68" spans="1:9" x14ac:dyDescent="0.25">
      <c r="A68" s="516"/>
      <c r="B68" s="17"/>
      <c r="C68" s="17"/>
      <c r="D68" s="17"/>
      <c r="E68" s="463"/>
      <c r="H68" s="463"/>
      <c r="I68" s="463"/>
    </row>
    <row r="69" spans="1:9" x14ac:dyDescent="0.25">
      <c r="A69" s="516"/>
      <c r="B69" s="17"/>
      <c r="C69" s="17"/>
      <c r="D69" s="17"/>
      <c r="E69" s="463"/>
      <c r="H69" s="463"/>
      <c r="I69" s="463"/>
    </row>
    <row r="70" spans="1:9" x14ac:dyDescent="0.25">
      <c r="A70" s="516"/>
      <c r="B70" s="17"/>
      <c r="C70" s="17"/>
      <c r="D70" s="17"/>
      <c r="E70" s="463"/>
      <c r="H70" s="463"/>
      <c r="I70" s="463"/>
    </row>
    <row r="71" spans="1:9" x14ac:dyDescent="0.25">
      <c r="A71" s="516"/>
      <c r="B71" s="17"/>
      <c r="C71" s="17"/>
      <c r="D71" s="17"/>
      <c r="E71" s="463"/>
      <c r="H71" s="463"/>
      <c r="I71" s="463"/>
    </row>
    <row r="72" spans="1:9" x14ac:dyDescent="0.25">
      <c r="A72" s="516"/>
      <c r="B72" s="17"/>
      <c r="C72" s="17"/>
      <c r="D72" s="17"/>
      <c r="E72" s="463"/>
      <c r="H72" s="463"/>
      <c r="I72" s="463"/>
    </row>
    <row r="73" spans="1:9" x14ac:dyDescent="0.25">
      <c r="A73" s="516"/>
      <c r="B73" s="17"/>
      <c r="C73" s="17"/>
      <c r="D73" s="17"/>
      <c r="E73" s="463"/>
      <c r="H73" s="463"/>
      <c r="I73" s="463"/>
    </row>
    <row r="74" spans="1:9" x14ac:dyDescent="0.25">
      <c r="A74" s="516"/>
      <c r="B74" s="17"/>
      <c r="C74" s="17"/>
      <c r="D74" s="17"/>
      <c r="E74" s="463"/>
      <c r="H74" s="463"/>
      <c r="I74" s="463"/>
    </row>
    <row r="75" spans="1:9" x14ac:dyDescent="0.25">
      <c r="A75" s="516"/>
      <c r="B75" s="17"/>
      <c r="C75" s="17"/>
      <c r="D75" s="17"/>
      <c r="E75" s="463"/>
      <c r="H75" s="463"/>
      <c r="I75" s="463"/>
    </row>
    <row r="76" spans="1:9" x14ac:dyDescent="0.25">
      <c r="A76" s="516"/>
      <c r="B76" s="17"/>
      <c r="C76" s="17"/>
      <c r="D76" s="17"/>
      <c r="E76" s="463"/>
      <c r="H76" s="463"/>
      <c r="I76" s="463"/>
    </row>
    <row r="77" spans="1:9" x14ac:dyDescent="0.25">
      <c r="A77" s="516"/>
      <c r="B77" s="17"/>
      <c r="C77" s="17"/>
      <c r="D77" s="17"/>
      <c r="E77" s="463"/>
      <c r="H77" s="463"/>
      <c r="I77" s="463"/>
    </row>
    <row r="78" spans="1:9" x14ac:dyDescent="0.25">
      <c r="A78" s="516"/>
      <c r="B78" s="17"/>
      <c r="C78" s="17"/>
      <c r="D78" s="17"/>
      <c r="E78" s="463"/>
      <c r="H78" s="463"/>
      <c r="I78" s="463"/>
    </row>
    <row r="79" spans="1:9" x14ac:dyDescent="0.25">
      <c r="A79" s="516"/>
      <c r="B79" s="17"/>
      <c r="C79" s="17"/>
      <c r="D79" s="17"/>
      <c r="E79" s="463"/>
      <c r="H79" s="463"/>
      <c r="I79" s="463"/>
    </row>
    <row r="80" spans="1:9" x14ac:dyDescent="0.25">
      <c r="A80" s="516"/>
      <c r="B80" s="17"/>
      <c r="C80" s="17"/>
      <c r="D80" s="17"/>
      <c r="E80" s="463"/>
      <c r="H80" s="463"/>
      <c r="I80" s="463"/>
    </row>
  </sheetData>
  <sheetProtection algorithmName="SHA-512" hashValue="TnGLzVtrwFaHrrYhLkpK+dNrsFDDc0ZFnBzWuAEqsRCxqubfCjGME0Ait+adC+3wUX+OdBFZIc/LQaAJJWsM2A==" saltValue="WgUQxS4aDG56RVrcDt+jsw==" spinCount="100000" sheet="1" autoFilter="0"/>
  <autoFilter ref="A6:C6" xr:uid="{00000000-0009-0000-0000-000005000000}"/>
  <mergeCells count="36">
    <mergeCell ref="B16:C16"/>
    <mergeCell ref="B19:D19"/>
    <mergeCell ref="B25:C25"/>
    <mergeCell ref="B28:D28"/>
    <mergeCell ref="C26:D26"/>
    <mergeCell ref="C20:D20"/>
    <mergeCell ref="C21:D21"/>
    <mergeCell ref="B7:L7"/>
    <mergeCell ref="B9:L9"/>
    <mergeCell ref="B8:L8"/>
    <mergeCell ref="E11:F11"/>
    <mergeCell ref="G11:H11"/>
    <mergeCell ref="B31:D31"/>
    <mergeCell ref="C27:D27"/>
    <mergeCell ref="B22:D22"/>
    <mergeCell ref="B23:C23"/>
    <mergeCell ref="C32:D32"/>
    <mergeCell ref="C29:D29"/>
    <mergeCell ref="C30:D30"/>
    <mergeCell ref="B24:D24"/>
    <mergeCell ref="B1:H1"/>
    <mergeCell ref="I1:L1"/>
    <mergeCell ref="B13:D13"/>
    <mergeCell ref="C17:D17"/>
    <mergeCell ref="C18:D18"/>
    <mergeCell ref="C2:L2"/>
    <mergeCell ref="C3:L3"/>
    <mergeCell ref="C4:D4"/>
    <mergeCell ref="B10:D11"/>
    <mergeCell ref="K11:K12"/>
    <mergeCell ref="L11:L12"/>
    <mergeCell ref="J11:J12"/>
    <mergeCell ref="B12:D12"/>
    <mergeCell ref="B15:D15"/>
    <mergeCell ref="I11:I12"/>
    <mergeCell ref="B14:C14"/>
  </mergeCells>
  <pageMargins left="0.35433070866141736" right="0.15748031496062992" top="1.1417322834645669" bottom="0.78740157480314965" header="0.31496062992125984" footer="0.31496062992125984"/>
  <pageSetup paperSize="9" scale="67" fitToHeight="0" orientation="portrait" r:id="rId1"/>
  <headerFooter scaleWithDoc="0">
    <oddHeader>&amp;L&amp;G</oddHeader>
    <oddFooter>&amp;L&amp;"Eras Demi ITC,Normal"&amp;8&amp;G&amp;R&amp;8&amp;P/&amp;N</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18</vt:i4>
      </vt:variant>
    </vt:vector>
  </HeadingPairs>
  <TitlesOfParts>
    <vt:vector size="28" baseType="lpstr">
      <vt:lpstr>Baremo</vt:lpstr>
      <vt:lpstr>Servicios</vt:lpstr>
      <vt:lpstr>Innovacion</vt:lpstr>
      <vt:lpstr>Necesidades</vt:lpstr>
      <vt:lpstr>Balances</vt:lpstr>
      <vt:lpstr>Presupuesto</vt:lpstr>
      <vt:lpstr>Inversion</vt:lpstr>
      <vt:lpstr>Viabilidad</vt:lpstr>
      <vt:lpstr>Empleo</vt:lpstr>
      <vt:lpstr>Listas</vt:lpstr>
      <vt:lpstr>Balances!Área_de_impresión</vt:lpstr>
      <vt:lpstr>Baremo!Área_de_impresión</vt:lpstr>
      <vt:lpstr>Empleo!Área_de_impresión</vt:lpstr>
      <vt:lpstr>Innovacion!Área_de_impresión</vt:lpstr>
      <vt:lpstr>Inversion!Área_de_impresión</vt:lpstr>
      <vt:lpstr>Necesidades!Área_de_impresión</vt:lpstr>
      <vt:lpstr>Presupuesto!Área_de_impresión</vt:lpstr>
      <vt:lpstr>Servicios!Área_de_impresión</vt:lpstr>
      <vt:lpstr>Viabilidad!Área_de_impresión</vt:lpstr>
      <vt:lpstr>Balances!Títulos_a_imprimir</vt:lpstr>
      <vt:lpstr>Baremo!Títulos_a_imprimir</vt:lpstr>
      <vt:lpstr>Empleo!Títulos_a_imprimir</vt:lpstr>
      <vt:lpstr>Innovacion!Títulos_a_imprimir</vt:lpstr>
      <vt:lpstr>Inversion!Títulos_a_imprimir</vt:lpstr>
      <vt:lpstr>Necesidades!Títulos_a_imprimir</vt:lpstr>
      <vt:lpstr>Presupuesto!Títulos_a_imprimir</vt:lpstr>
      <vt:lpstr>Servicios!Títulos_a_imprimir</vt:lpstr>
      <vt:lpstr>Viabilidad!Títulos_a_imprimir</vt:lpstr>
    </vt:vector>
  </TitlesOfParts>
  <Company>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Lara Garrido</dc:creator>
  <cp:lastModifiedBy>Francisco Lara Garrido</cp:lastModifiedBy>
  <cp:lastPrinted>2020-10-20T07:51:50Z</cp:lastPrinted>
  <dcterms:created xsi:type="dcterms:W3CDTF">2010-01-14T08:50:00Z</dcterms:created>
  <dcterms:modified xsi:type="dcterms:W3CDTF">2021-01-21T08:44:52Z</dcterms:modified>
</cp:coreProperties>
</file>